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ddjor\Downloads\"/>
    </mc:Choice>
  </mc:AlternateContent>
  <xr:revisionPtr revIDLastSave="0" documentId="13_ncr:1_{7B6789E5-724C-49B1-9D59-8C3288CCEA97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6679F0D3-54DA-4D7C-BCDF-97A00B03CC0F}"/>
  </bookViews>
  <sheets>
    <sheet name="Input Available Area" sheetId="1" r:id="rId1"/>
    <sheet name="Input Desired Pipe Size" sheetId="2" r:id="rId2"/>
    <sheet name="Tables" sheetId="3" r:id="rId3"/>
  </sheets>
  <definedNames>
    <definedName name="_xlnm._FilterDatabase" localSheetId="0" hidden="1">'Input Available Area'!$R$47:$S$57</definedName>
    <definedName name="daf">Tables!$A$1:$B$11</definedName>
    <definedName name="pipe">Tables!$D$1:$I$11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5" i="1" s="1"/>
  <c r="J15" i="2"/>
  <c r="M15" i="2"/>
  <c r="N19" i="2" s="1"/>
  <c r="O15" i="2"/>
  <c r="F16" i="2"/>
  <c r="N32" i="2" s="1"/>
  <c r="N34" i="2" l="1"/>
  <c r="N21" i="2"/>
  <c r="J15" i="1"/>
  <c r="M15" i="1"/>
  <c r="N19" i="1" s="1"/>
  <c r="N21" i="1" s="1"/>
  <c r="O15" i="1"/>
  <c r="F16" i="1"/>
  <c r="N23" i="2"/>
  <c r="N36" i="2"/>
  <c r="N38" i="2" s="1"/>
  <c r="N40" i="2" s="1"/>
  <c r="N25" i="2" l="1"/>
  <c r="N26" i="2" s="1"/>
  <c r="N27" i="2"/>
  <c r="N23" i="1"/>
  <c r="N25" i="1" s="1"/>
  <c r="N26" i="1" s="1"/>
  <c r="N31" i="1"/>
  <c r="N42" i="2"/>
  <c r="N33" i="1" l="1"/>
  <c r="N35" i="1" s="1"/>
  <c r="N37" i="1" s="1"/>
  <c r="N39" i="1"/>
</calcChain>
</file>

<file path=xl/sharedStrings.xml><?xml version="1.0" encoding="utf-8"?>
<sst xmlns="http://schemas.openxmlformats.org/spreadsheetml/2006/main" count="155" uniqueCount="60">
  <si>
    <t xml:space="preserve">Location </t>
  </si>
  <si>
    <t xml:space="preserve">Project </t>
  </si>
  <si>
    <t>Engineer</t>
  </si>
  <si>
    <t>Date</t>
  </si>
  <si>
    <t>Design Storage Volume</t>
  </si>
  <si>
    <t>Vst=</t>
  </si>
  <si>
    <t>ft3</t>
  </si>
  <si>
    <t>Ad=</t>
  </si>
  <si>
    <t>ft2</t>
  </si>
  <si>
    <t>Stormwater Detention System Worksheet</t>
  </si>
  <si>
    <t>ft2/ft3</t>
  </si>
  <si>
    <t>Minimum Pipe Diameter to</t>
  </si>
  <si>
    <t>Satisfy Design</t>
  </si>
  <si>
    <t>D=</t>
  </si>
  <si>
    <t>in</t>
  </si>
  <si>
    <t>1.)</t>
  </si>
  <si>
    <t>2.)</t>
  </si>
  <si>
    <t>3.)</t>
  </si>
  <si>
    <t>4.)</t>
  </si>
  <si>
    <t>dia</t>
  </si>
  <si>
    <t>pipe</t>
  </si>
  <si>
    <t>od</t>
  </si>
  <si>
    <t>s</t>
  </si>
  <si>
    <t>Pipe OD=</t>
  </si>
  <si>
    <t>Clear span (S)=</t>
  </si>
  <si>
    <t>A. If Width (W) Controls</t>
  </si>
  <si>
    <t>Number of Pipe Runs Required (Npr):</t>
  </si>
  <si>
    <t>Npr=</t>
  </si>
  <si>
    <t>Wmax=</t>
  </si>
  <si>
    <t>C=</t>
  </si>
  <si>
    <t>c</t>
  </si>
  <si>
    <t>Wact=</t>
  </si>
  <si>
    <t>ft</t>
  </si>
  <si>
    <t>pipe runs</t>
  </si>
  <si>
    <t>L=</t>
  </si>
  <si>
    <t>Pipe Length Between Manifolds (Lp):</t>
  </si>
  <si>
    <t>System Length (L):</t>
  </si>
  <si>
    <t>Actual Width (Wact):</t>
  </si>
  <si>
    <t>Lp=</t>
  </si>
  <si>
    <t>B. If Length (L) Controls</t>
  </si>
  <si>
    <t>Lmax=</t>
  </si>
  <si>
    <t>Estimated Storage Provided</t>
  </si>
  <si>
    <t>5.)</t>
  </si>
  <si>
    <t>d</t>
  </si>
  <si>
    <t>This worksheet is for estimations purposes only and should not take</t>
  </si>
  <si>
    <t>the place of a comprehensive engineering design.</t>
  </si>
  <si>
    <t>Estimated volumes are based on a flat detention system.</t>
  </si>
  <si>
    <t>Detention Surface Area Required (Ad):</t>
  </si>
  <si>
    <t>Vp=</t>
  </si>
  <si>
    <t>Vp must be greater than Vst</t>
  </si>
  <si>
    <t>OK? ___yes ___no</t>
  </si>
  <si>
    <t>Stormwater Retention System Worksheet</t>
  </si>
  <si>
    <t>Surface Area Available</t>
  </si>
  <si>
    <t xml:space="preserve">Maximum Retention Area </t>
  </si>
  <si>
    <t>Factor (RAF)</t>
  </si>
  <si>
    <t>Actual RAF for Selected Pipe Size</t>
  </si>
  <si>
    <t>raf</t>
  </si>
  <si>
    <t>RAF=</t>
  </si>
  <si>
    <t>RAFact=</t>
  </si>
  <si>
    <t>rafa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</si>
</sst>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0" xfId="0" applyFont="1"/>
    <xf numFmtId="0" fontId="0" fillId="0" borderId="0" xfId="0" applyAlignment="1">
      <alignment horizontal="left"/>
    </xf>
    <xf numFmtId="0" fontId="0" fillId="0" borderId="2" xfId="0" applyBorder="1"/>
    <xf numFmtId="0" fontId="0" fillId="2" borderId="1" xfId="0" applyFill="1" applyBorder="1"/>
    <xf numFmtId="0" fontId="3" fillId="3" borderId="0" xfId="0" applyFont="1" applyFill="1"/>
    <xf numFmtId="0" fontId="1" fillId="0" borderId="3" xfId="0" applyFont="1" applyBorder="1"/>
    <xf numFmtId="0" fontId="0" fillId="0" borderId="4" xfId="0" applyBorder="1"/>
    <xf numFmtId="0" fontId="1" fillId="0" borderId="4" xfId="0" applyFont="1" applyBorder="1" applyAlignment="1">
      <alignment horizontal="right"/>
    </xf>
    <xf numFmtId="0" fontId="1" fillId="0" borderId="5" xfId="0" applyFont="1" applyBorder="1"/>
    <xf numFmtId="0" fontId="0" fillId="0" borderId="6" xfId="0" applyBorder="1"/>
    <xf numFmtId="0" fontId="1" fillId="0" borderId="7" xfId="0" applyFont="1" applyBorder="1"/>
    <xf numFmtId="0" fontId="0" fillId="3" borderId="0" xfId="0" applyFill="1"/>
    <xf numFmtId="0" fontId="0" fillId="0" borderId="7" xfId="0" applyBorder="1"/>
    <xf numFmtId="0" fontId="0" fillId="0" borderId="8" xfId="0" applyBorder="1"/>
    <xf numFmtId="0" fontId="1" fillId="0" borderId="1" xfId="0" applyFont="1" applyBorder="1" applyAlignment="1">
      <alignment horizontal="right"/>
    </xf>
    <xf numFmtId="0" fontId="1" fillId="0" borderId="9" xfId="0" applyFont="1" applyBorder="1"/>
    <xf numFmtId="0" fontId="3" fillId="4" borderId="1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1" xfId="0" applyBorder="1" applyProtection="1">
      <protection locked="0"/>
    </xf>
    <xf numFmtId="0" fontId="3" fillId="4" borderId="0" xfId="0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76200</xdr:rowOff>
        </xdr:from>
        <xdr:to>
          <xdr:col>6</xdr:col>
          <xdr:colOff>333375</xdr:colOff>
          <xdr:row>35</xdr:row>
          <xdr:rowOff>142875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257175</xdr:colOff>
          <xdr:row>2</xdr:row>
          <xdr:rowOff>142875</xdr:rowOff>
        </xdr:from>
        <xdr:to>
          <xdr:col>14</xdr:col>
          <xdr:colOff>38100</xdr:colOff>
          <xdr:row>13</xdr:row>
          <xdr:rowOff>9525</xdr:rowOff>
        </xdr:to>
        <xdr:sp macro="" textlink="">
          <xdr:nvSpPr>
            <xdr:cNvPr id="1027" name="Object 3" descr="Chart for dia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152400</xdr:rowOff>
        </xdr:from>
        <xdr:to>
          <xdr:col>6</xdr:col>
          <xdr:colOff>314325</xdr:colOff>
          <xdr:row>37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</xdr:row>
          <xdr:rowOff>47625</xdr:rowOff>
        </xdr:from>
        <xdr:to>
          <xdr:col>14</xdr:col>
          <xdr:colOff>28575</xdr:colOff>
          <xdr:row>12</xdr:row>
          <xdr:rowOff>95250</xdr:rowOff>
        </xdr:to>
        <xdr:sp macro="" textlink="">
          <xdr:nvSpPr>
            <xdr:cNvPr id="2050" name="Object 2" descr="Same chart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Microsoft_Word_97_-_2003_Document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Microsoft_Word_97_-_2003_Document1.doc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A1034-1564-40F1-80D0-1E33F4796B9F}">
  <dimension ref="A1:O41"/>
  <sheetViews>
    <sheetView zoomScale="75" workbookViewId="0">
      <selection activeCell="N17" sqref="N17"/>
    </sheetView>
  </sheetViews>
  <sheetFormatPr defaultRowHeight="12.75" x14ac:dyDescent="0.2"/>
  <cols>
    <col min="1" max="1" width="3.5703125" customWidth="1"/>
    <col min="4" max="4" width="11.42578125" customWidth="1"/>
    <col min="7" max="7" width="7.28515625" customWidth="1"/>
  </cols>
  <sheetData>
    <row r="1" spans="1:15" ht="4.5" customHeight="1" x14ac:dyDescent="0.2"/>
    <row r="2" spans="1:15" ht="18" x14ac:dyDescent="0.25">
      <c r="E2" s="4" t="s">
        <v>51</v>
      </c>
    </row>
    <row r="5" spans="1:15" x14ac:dyDescent="0.2">
      <c r="B5" s="1" t="s">
        <v>1</v>
      </c>
      <c r="C5" s="27"/>
      <c r="D5" s="27"/>
      <c r="E5" s="27"/>
      <c r="F5" s="27"/>
      <c r="G5" s="27"/>
    </row>
    <row r="6" spans="1:15" x14ac:dyDescent="0.2">
      <c r="B6" s="1" t="s">
        <v>0</v>
      </c>
      <c r="C6" s="27"/>
      <c r="D6" s="27"/>
      <c r="E6" s="27"/>
      <c r="F6" s="27"/>
      <c r="G6" s="27"/>
    </row>
    <row r="7" spans="1:15" x14ac:dyDescent="0.2">
      <c r="B7" s="1" t="s">
        <v>2</v>
      </c>
      <c r="C7" s="27"/>
      <c r="D7" s="27"/>
      <c r="E7" s="27"/>
      <c r="F7" s="27"/>
      <c r="G7" s="27"/>
    </row>
    <row r="8" spans="1:15" x14ac:dyDescent="0.2">
      <c r="B8" s="1" t="s">
        <v>3</v>
      </c>
      <c r="C8" s="27"/>
      <c r="D8" s="27"/>
      <c r="E8" s="27"/>
      <c r="F8" s="27"/>
      <c r="G8" s="27"/>
    </row>
    <row r="10" spans="1:15" x14ac:dyDescent="0.2">
      <c r="A10" s="1" t="s">
        <v>15</v>
      </c>
      <c r="B10" t="s">
        <v>4</v>
      </c>
      <c r="D10" s="1"/>
      <c r="E10" s="2" t="s">
        <v>5</v>
      </c>
      <c r="F10" s="24">
        <v>7600</v>
      </c>
      <c r="G10" s="3" t="s">
        <v>6</v>
      </c>
    </row>
    <row r="11" spans="1:15" x14ac:dyDescent="0.2">
      <c r="A11" s="1" t="s">
        <v>16</v>
      </c>
      <c r="B11" t="s">
        <v>52</v>
      </c>
      <c r="E11" s="2" t="s">
        <v>7</v>
      </c>
      <c r="F11" s="25">
        <v>3916</v>
      </c>
      <c r="G11" s="3" t="s">
        <v>8</v>
      </c>
    </row>
    <row r="12" spans="1:15" x14ac:dyDescent="0.2">
      <c r="A12" s="1" t="s">
        <v>17</v>
      </c>
      <c r="B12" t="s">
        <v>53</v>
      </c>
      <c r="F12" s="8"/>
    </row>
    <row r="13" spans="1:15" x14ac:dyDescent="0.2">
      <c r="A13" s="1"/>
      <c r="B13" t="s">
        <v>54</v>
      </c>
      <c r="E13" s="2" t="s">
        <v>57</v>
      </c>
      <c r="F13" s="7">
        <f>F11/F10</f>
        <v>0.51526315789473687</v>
      </c>
      <c r="G13" s="3" t="s">
        <v>10</v>
      </c>
    </row>
    <row r="14" spans="1:15" x14ac:dyDescent="0.2">
      <c r="A14" s="1" t="s">
        <v>18</v>
      </c>
      <c r="B14" t="s">
        <v>11</v>
      </c>
      <c r="F14" s="8"/>
    </row>
    <row r="15" spans="1:15" x14ac:dyDescent="0.2">
      <c r="A15" s="5"/>
      <c r="B15" t="s">
        <v>12</v>
      </c>
      <c r="E15" s="2" t="s">
        <v>13</v>
      </c>
      <c r="F15" s="7">
        <f>VLOOKUP($F$13,daf,2,TRUE)</f>
        <v>42</v>
      </c>
      <c r="G15" s="3" t="s">
        <v>14</v>
      </c>
      <c r="I15" s="2" t="s">
        <v>23</v>
      </c>
      <c r="J15" s="9">
        <f>VLOOKUP($F$15,pipe,2,TRUE)</f>
        <v>3.9</v>
      </c>
      <c r="L15" s="2" t="s">
        <v>24</v>
      </c>
      <c r="M15" s="9">
        <f>VLOOKUP($F$15,pipe,3,TRUE)</f>
        <v>2.1</v>
      </c>
      <c r="N15" s="2" t="s">
        <v>29</v>
      </c>
      <c r="O15" s="9">
        <f>VLOOKUP($F$15,pipe,4,TRUE)</f>
        <v>4.95</v>
      </c>
    </row>
    <row r="16" spans="1:15" x14ac:dyDescent="0.2">
      <c r="A16" s="1" t="s">
        <v>42</v>
      </c>
      <c r="B16" t="s">
        <v>55</v>
      </c>
      <c r="E16" s="2" t="s">
        <v>58</v>
      </c>
      <c r="F16" s="10">
        <f>VLOOKUP(F15,pipe,5,TRUE)</f>
        <v>0.45</v>
      </c>
      <c r="G16" s="3" t="s">
        <v>10</v>
      </c>
      <c r="I16" s="1"/>
      <c r="J16" s="9"/>
      <c r="L16" s="1"/>
      <c r="M16" s="9"/>
    </row>
    <row r="17" spans="8:15" x14ac:dyDescent="0.2">
      <c r="H17" s="13" t="s">
        <v>25</v>
      </c>
      <c r="I17" s="14"/>
      <c r="J17" s="14"/>
      <c r="K17" s="14"/>
      <c r="L17" s="14"/>
      <c r="M17" s="15" t="s">
        <v>28</v>
      </c>
      <c r="N17" s="26">
        <v>35</v>
      </c>
      <c r="O17" s="16" t="s">
        <v>32</v>
      </c>
    </row>
    <row r="18" spans="8:15" x14ac:dyDescent="0.2">
      <c r="H18" s="17"/>
      <c r="O18" s="18"/>
    </row>
    <row r="19" spans="8:15" x14ac:dyDescent="0.2">
      <c r="H19" s="17"/>
      <c r="I19" t="s">
        <v>26</v>
      </c>
      <c r="M19" s="2" t="s">
        <v>27</v>
      </c>
      <c r="N19" s="6">
        <f>INT((N17+M15)/(J15+M15))</f>
        <v>6</v>
      </c>
      <c r="O19" s="18" t="s">
        <v>33</v>
      </c>
    </row>
    <row r="20" spans="8:15" x14ac:dyDescent="0.2">
      <c r="H20" s="17"/>
      <c r="O20" s="18"/>
    </row>
    <row r="21" spans="8:15" x14ac:dyDescent="0.2">
      <c r="H21" s="17"/>
      <c r="I21" s="8" t="s">
        <v>37</v>
      </c>
      <c r="M21" s="2" t="s">
        <v>31</v>
      </c>
      <c r="N21" s="11">
        <f>N19*J15+(N19-1)*M15</f>
        <v>33.9</v>
      </c>
      <c r="O21" s="18" t="s">
        <v>32</v>
      </c>
    </row>
    <row r="22" spans="8:15" x14ac:dyDescent="0.2">
      <c r="H22" s="17"/>
      <c r="N22" s="19"/>
      <c r="O22" s="20"/>
    </row>
    <row r="23" spans="8:15" x14ac:dyDescent="0.2">
      <c r="H23" s="17"/>
      <c r="I23" s="8" t="s">
        <v>36</v>
      </c>
      <c r="M23" s="2" t="s">
        <v>34</v>
      </c>
      <c r="N23" s="11">
        <f>INT(F10*F16/N21)+1</f>
        <v>101</v>
      </c>
      <c r="O23" s="18" t="s">
        <v>32</v>
      </c>
    </row>
    <row r="24" spans="8:15" x14ac:dyDescent="0.2">
      <c r="H24" s="17"/>
      <c r="I24" s="5"/>
      <c r="O24" s="20"/>
    </row>
    <row r="25" spans="8:15" x14ac:dyDescent="0.2">
      <c r="H25" s="17"/>
      <c r="I25" t="s">
        <v>35</v>
      </c>
      <c r="M25" s="2" t="s">
        <v>38</v>
      </c>
      <c r="N25" s="6">
        <f>INT(N23-2*O15)</f>
        <v>91</v>
      </c>
      <c r="O25" s="18" t="s">
        <v>32</v>
      </c>
    </row>
    <row r="26" spans="8:15" ht="27" customHeight="1" x14ac:dyDescent="0.2">
      <c r="H26" s="21"/>
      <c r="I26" s="6" t="s">
        <v>41</v>
      </c>
      <c r="J26" s="6"/>
      <c r="K26" s="6"/>
      <c r="L26" s="6"/>
      <c r="M26" s="22" t="s">
        <v>48</v>
      </c>
      <c r="N26" s="10">
        <f>INT((VLOOKUP($F$15,pipe,6,TRUE))*(N19*N25+2*N21))</f>
        <v>8157</v>
      </c>
      <c r="O26" s="23" t="s">
        <v>6</v>
      </c>
    </row>
    <row r="27" spans="8:15" ht="18" customHeight="1" x14ac:dyDescent="0.2">
      <c r="K27" t="s">
        <v>49</v>
      </c>
      <c r="M27" s="2"/>
      <c r="N27" t="s">
        <v>50</v>
      </c>
      <c r="O27" s="3"/>
    </row>
    <row r="28" spans="8:15" ht="28.5" customHeight="1" x14ac:dyDescent="0.2"/>
    <row r="29" spans="8:15" x14ac:dyDescent="0.2">
      <c r="H29" s="13" t="s">
        <v>39</v>
      </c>
      <c r="I29" s="14"/>
      <c r="J29" s="14"/>
      <c r="K29" s="14"/>
      <c r="L29" s="14"/>
      <c r="M29" s="15" t="s">
        <v>40</v>
      </c>
      <c r="N29" s="26">
        <v>280</v>
      </c>
      <c r="O29" s="16" t="s">
        <v>32</v>
      </c>
    </row>
    <row r="30" spans="8:15" x14ac:dyDescent="0.2">
      <c r="H30" s="17"/>
      <c r="O30" s="20"/>
    </row>
    <row r="31" spans="8:15" x14ac:dyDescent="0.2">
      <c r="H31" s="17"/>
      <c r="I31" t="s">
        <v>26</v>
      </c>
      <c r="M31" s="2" t="s">
        <v>27</v>
      </c>
      <c r="N31" s="6">
        <f>INT(((F10*F16/N29)+M15)/(J15+M15))+1</f>
        <v>3</v>
      </c>
      <c r="O31" s="18" t="s">
        <v>33</v>
      </c>
    </row>
    <row r="32" spans="8:15" x14ac:dyDescent="0.2">
      <c r="H32" s="17"/>
      <c r="O32" s="20"/>
    </row>
    <row r="33" spans="1:15" x14ac:dyDescent="0.2">
      <c r="H33" s="17"/>
      <c r="I33" t="s">
        <v>37</v>
      </c>
      <c r="M33" s="2" t="s">
        <v>31</v>
      </c>
      <c r="N33" s="11">
        <f>N31*J15+(N31-1)*M15</f>
        <v>15.899999999999999</v>
      </c>
      <c r="O33" s="18" t="s">
        <v>32</v>
      </c>
    </row>
    <row r="34" spans="1:15" x14ac:dyDescent="0.2">
      <c r="H34" s="17"/>
      <c r="N34" s="19"/>
      <c r="O34" s="20"/>
    </row>
    <row r="35" spans="1:15" x14ac:dyDescent="0.2">
      <c r="H35" s="17"/>
      <c r="I35" t="s">
        <v>36</v>
      </c>
      <c r="M35" s="2" t="s">
        <v>34</v>
      </c>
      <c r="N35" s="11">
        <f>INT(F10*F16/N33)</f>
        <v>215</v>
      </c>
      <c r="O35" s="18" t="s">
        <v>32</v>
      </c>
    </row>
    <row r="36" spans="1:15" x14ac:dyDescent="0.2">
      <c r="H36" s="17"/>
      <c r="O36" s="20"/>
    </row>
    <row r="37" spans="1:15" x14ac:dyDescent="0.2">
      <c r="H37" s="17"/>
      <c r="I37" t="s">
        <v>35</v>
      </c>
      <c r="M37" s="2" t="s">
        <v>38</v>
      </c>
      <c r="N37" s="6">
        <f>INT(N35-2*O15)</f>
        <v>205</v>
      </c>
      <c r="O37" s="18" t="s">
        <v>32</v>
      </c>
    </row>
    <row r="38" spans="1:15" x14ac:dyDescent="0.2">
      <c r="H38" s="17"/>
      <c r="O38" s="20"/>
    </row>
    <row r="39" spans="1:15" x14ac:dyDescent="0.2">
      <c r="A39" t="s">
        <v>15</v>
      </c>
      <c r="B39" t="s">
        <v>44</v>
      </c>
      <c r="H39" s="21"/>
      <c r="I39" s="6" t="s">
        <v>41</v>
      </c>
      <c r="J39" s="6"/>
      <c r="K39" s="6"/>
      <c r="L39" s="6"/>
      <c r="M39" s="22" t="s">
        <v>48</v>
      </c>
      <c r="N39" s="10">
        <f>INT((VLOOKUP($F$15,pipe,6,TRUE))*(N31*N37+2*N33))</f>
        <v>8595</v>
      </c>
      <c r="O39" s="23" t="s">
        <v>6</v>
      </c>
    </row>
    <row r="40" spans="1:15" x14ac:dyDescent="0.2">
      <c r="B40" t="s">
        <v>45</v>
      </c>
      <c r="K40" t="s">
        <v>49</v>
      </c>
      <c r="M40" s="2"/>
      <c r="N40" t="s">
        <v>50</v>
      </c>
      <c r="O40" s="3"/>
    </row>
    <row r="41" spans="1:15" x14ac:dyDescent="0.2">
      <c r="A41" t="s">
        <v>16</v>
      </c>
      <c r="B41" t="s">
        <v>46</v>
      </c>
    </row>
  </sheetData>
  <phoneticPr fontId="0" type="noConversion"/>
  <pageMargins left="0.25" right="0.25" top="0.25" bottom="0.25" header="0.5" footer="0.5"/>
  <pageSetup orientation="landscape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LT.Drawing.4" shapeId="1026" r:id="rId4">
          <objectPr defaultSize="0" autoPict="0" altText="Storm grate" r:id="rId5">
            <anchor moveWithCells="1">
              <from>
                <xdr:col>1</xdr:col>
                <xdr:colOff>9525</xdr:colOff>
                <xdr:row>17</xdr:row>
                <xdr:rowOff>76200</xdr:rowOff>
              </from>
              <to>
                <xdr:col>6</xdr:col>
                <xdr:colOff>333375</xdr:colOff>
                <xdr:row>35</xdr:row>
                <xdr:rowOff>142875</xdr:rowOff>
              </to>
            </anchor>
          </objectPr>
        </oleObject>
      </mc:Choice>
      <mc:Fallback>
        <oleObject progId="AutoCADLT.Drawing.4" shapeId="1026" r:id="rId4"/>
      </mc:Fallback>
    </mc:AlternateContent>
    <mc:AlternateContent xmlns:mc="http://schemas.openxmlformats.org/markup-compatibility/2006">
      <mc:Choice Requires="x14">
        <oleObject progId="Document" shapeId="1027" r:id="rId6">
          <objectPr defaultSize="0" autoPict="0" altText="Chart for dia" r:id="rId7">
            <anchor moveWithCells="1">
              <from>
                <xdr:col>7</xdr:col>
                <xdr:colOff>257175</xdr:colOff>
                <xdr:row>2</xdr:row>
                <xdr:rowOff>142875</xdr:rowOff>
              </from>
              <to>
                <xdr:col>14</xdr:col>
                <xdr:colOff>38100</xdr:colOff>
                <xdr:row>13</xdr:row>
                <xdr:rowOff>9525</xdr:rowOff>
              </to>
            </anchor>
          </objectPr>
        </oleObject>
      </mc:Choice>
      <mc:Fallback>
        <oleObject progId="Document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62B9-54E8-498F-B97F-9D8D8E9F00AC}">
  <dimension ref="A1:O43"/>
  <sheetViews>
    <sheetView tabSelected="1" zoomScale="75" workbookViewId="0">
      <selection activeCell="E11" sqref="E11"/>
    </sheetView>
  </sheetViews>
  <sheetFormatPr defaultRowHeight="12.75" x14ac:dyDescent="0.2"/>
  <cols>
    <col min="1" max="1" width="3.5703125" customWidth="1"/>
    <col min="4" max="4" width="11.42578125" customWidth="1"/>
    <col min="7" max="7" width="7.28515625" customWidth="1"/>
  </cols>
  <sheetData>
    <row r="1" spans="1:15" ht="0.75" customHeight="1" x14ac:dyDescent="0.2"/>
    <row r="2" spans="1:15" ht="15.75" customHeight="1" x14ac:dyDescent="0.25">
      <c r="E2" s="4" t="s">
        <v>9</v>
      </c>
    </row>
    <row r="5" spans="1:15" x14ac:dyDescent="0.2">
      <c r="B5" s="1" t="s">
        <v>1</v>
      </c>
      <c r="C5" s="27"/>
      <c r="D5" s="27"/>
      <c r="E5" s="27"/>
      <c r="F5" s="27"/>
      <c r="G5" s="27"/>
    </row>
    <row r="6" spans="1:15" x14ac:dyDescent="0.2">
      <c r="B6" s="1" t="s">
        <v>0</v>
      </c>
      <c r="C6" s="27"/>
      <c r="D6" s="27"/>
      <c r="E6" s="27"/>
      <c r="F6" s="27"/>
      <c r="G6" s="27"/>
    </row>
    <row r="7" spans="1:15" x14ac:dyDescent="0.2">
      <c r="B7" s="1" t="s">
        <v>2</v>
      </c>
      <c r="C7" s="27"/>
      <c r="D7" s="27"/>
      <c r="E7" s="27"/>
      <c r="F7" s="27"/>
      <c r="G7" s="27"/>
    </row>
    <row r="8" spans="1:15" x14ac:dyDescent="0.2">
      <c r="B8" s="1" t="s">
        <v>3</v>
      </c>
      <c r="C8" s="27"/>
      <c r="D8" s="27"/>
      <c r="E8" s="27"/>
      <c r="F8" s="27"/>
      <c r="G8" s="27"/>
    </row>
    <row r="10" spans="1:15" x14ac:dyDescent="0.2">
      <c r="A10" s="1" t="s">
        <v>15</v>
      </c>
      <c r="B10" t="s">
        <v>4</v>
      </c>
      <c r="D10" s="1"/>
      <c r="E10" s="2" t="s">
        <v>5</v>
      </c>
      <c r="F10" s="28">
        <v>7500</v>
      </c>
      <c r="G10" s="3" t="s">
        <v>6</v>
      </c>
    </row>
    <row r="11" spans="1:15" x14ac:dyDescent="0.2">
      <c r="A11" s="1"/>
      <c r="E11" s="2"/>
      <c r="F11" s="12"/>
      <c r="G11" s="3"/>
    </row>
    <row r="12" spans="1:15" x14ac:dyDescent="0.2">
      <c r="A12" s="1"/>
      <c r="E12" s="2"/>
      <c r="F12" s="8"/>
      <c r="G12" s="3"/>
    </row>
    <row r="13" spans="1:15" x14ac:dyDescent="0.2">
      <c r="A13" s="1"/>
      <c r="E13" s="2"/>
      <c r="F13" s="8"/>
      <c r="G13" s="3"/>
    </row>
    <row r="14" spans="1:15" x14ac:dyDescent="0.2">
      <c r="A14" s="1" t="s">
        <v>16</v>
      </c>
      <c r="B14" t="s">
        <v>11</v>
      </c>
      <c r="F14" s="8"/>
      <c r="I14" s="2"/>
      <c r="J14" s="9"/>
      <c r="L14" s="2"/>
      <c r="M14" s="9"/>
      <c r="N14" s="2"/>
      <c r="O14" s="9"/>
    </row>
    <row r="15" spans="1:15" x14ac:dyDescent="0.2">
      <c r="A15" s="5"/>
      <c r="B15" t="s">
        <v>12</v>
      </c>
      <c r="E15" s="2" t="s">
        <v>13</v>
      </c>
      <c r="F15" s="24">
        <v>48</v>
      </c>
      <c r="G15" s="3" t="s">
        <v>14</v>
      </c>
      <c r="I15" s="2" t="s">
        <v>23</v>
      </c>
      <c r="J15" s="9">
        <f>VLOOKUP($F$15,pipe,2,TRUE)</f>
        <v>4.3899999999999997</v>
      </c>
      <c r="L15" s="2" t="s">
        <v>24</v>
      </c>
      <c r="M15" s="9">
        <f>VLOOKUP($F$15,pipe,3,TRUE)</f>
        <v>2.11</v>
      </c>
      <c r="N15" s="2" t="s">
        <v>29</v>
      </c>
      <c r="O15" s="9">
        <f>VLOOKUP($F$15,pipe,4,TRUE)</f>
        <v>5.45</v>
      </c>
    </row>
    <row r="16" spans="1:15" x14ac:dyDescent="0.2">
      <c r="A16" s="1" t="s">
        <v>17</v>
      </c>
      <c r="B16" t="s">
        <v>55</v>
      </c>
      <c r="E16" s="2" t="s">
        <v>58</v>
      </c>
      <c r="F16" s="10">
        <f>VLOOKUP(F15,pipe,5,TRUE)</f>
        <v>0.39</v>
      </c>
      <c r="G16" s="3" t="s">
        <v>10</v>
      </c>
      <c r="I16" s="1"/>
      <c r="J16" s="9"/>
      <c r="L16" s="1"/>
      <c r="M16" s="9"/>
    </row>
    <row r="17" spans="8:15" x14ac:dyDescent="0.2">
      <c r="H17" s="13" t="s">
        <v>25</v>
      </c>
      <c r="I17" s="14"/>
      <c r="J17" s="14"/>
      <c r="K17" s="14"/>
      <c r="L17" s="14"/>
      <c r="M17" s="15" t="s">
        <v>28</v>
      </c>
      <c r="N17" s="26">
        <v>35</v>
      </c>
      <c r="O17" s="16" t="s">
        <v>32</v>
      </c>
    </row>
    <row r="18" spans="8:15" x14ac:dyDescent="0.2">
      <c r="H18" s="17"/>
      <c r="O18" s="18"/>
    </row>
    <row r="19" spans="8:15" x14ac:dyDescent="0.2">
      <c r="H19" s="17"/>
      <c r="I19" t="s">
        <v>26</v>
      </c>
      <c r="M19" s="2" t="s">
        <v>27</v>
      </c>
      <c r="N19" s="6">
        <f>INT((N17+M15)/(J15+M15))</f>
        <v>5</v>
      </c>
      <c r="O19" s="18" t="s">
        <v>33</v>
      </c>
    </row>
    <row r="20" spans="8:15" x14ac:dyDescent="0.2">
      <c r="H20" s="17"/>
      <c r="O20" s="18"/>
    </row>
    <row r="21" spans="8:15" x14ac:dyDescent="0.2">
      <c r="H21" s="17"/>
      <c r="I21" s="8" t="s">
        <v>37</v>
      </c>
      <c r="M21" s="2" t="s">
        <v>31</v>
      </c>
      <c r="N21" s="11">
        <f>N19*J15+(N19-1)*M15</f>
        <v>30.39</v>
      </c>
      <c r="O21" s="18" t="s">
        <v>32</v>
      </c>
    </row>
    <row r="22" spans="8:15" x14ac:dyDescent="0.2">
      <c r="H22" s="17"/>
      <c r="N22" s="19"/>
      <c r="O22" s="20"/>
    </row>
    <row r="23" spans="8:15" x14ac:dyDescent="0.2">
      <c r="H23" s="17"/>
      <c r="I23" s="8" t="s">
        <v>36</v>
      </c>
      <c r="M23" s="2" t="s">
        <v>34</v>
      </c>
      <c r="N23" s="11">
        <f>INT(F10*F16/N21)+1</f>
        <v>97</v>
      </c>
      <c r="O23" s="18" t="s">
        <v>32</v>
      </c>
    </row>
    <row r="24" spans="8:15" x14ac:dyDescent="0.2">
      <c r="H24" s="17"/>
      <c r="I24" s="5"/>
      <c r="O24" s="20"/>
    </row>
    <row r="25" spans="8:15" x14ac:dyDescent="0.2">
      <c r="H25" s="17"/>
      <c r="I25" t="s">
        <v>35</v>
      </c>
      <c r="M25" s="2" t="s">
        <v>38</v>
      </c>
      <c r="N25" s="6">
        <f>INT(N23-2*O15)</f>
        <v>86</v>
      </c>
      <c r="O25" s="18" t="s">
        <v>32</v>
      </c>
    </row>
    <row r="26" spans="8:15" ht="21" customHeight="1" x14ac:dyDescent="0.2">
      <c r="H26" s="17"/>
      <c r="I26" t="s">
        <v>41</v>
      </c>
      <c r="M26" s="2" t="s">
        <v>48</v>
      </c>
      <c r="N26" s="10">
        <f>INT(VLOOKUP(F15,pipe,6,TRUE)*(N19*N25+2*N21))</f>
        <v>8264</v>
      </c>
      <c r="O26" s="18" t="s">
        <v>6</v>
      </c>
    </row>
    <row r="27" spans="8:15" ht="20.25" customHeight="1" x14ac:dyDescent="0.2">
      <c r="H27" s="21"/>
      <c r="I27" s="6" t="s">
        <v>47</v>
      </c>
      <c r="J27" s="6"/>
      <c r="K27" s="6"/>
      <c r="L27" s="6"/>
      <c r="M27" s="22" t="s">
        <v>7</v>
      </c>
      <c r="N27" s="10">
        <f>INT(N23*N21)</f>
        <v>2947</v>
      </c>
      <c r="O27" s="23" t="s">
        <v>8</v>
      </c>
    </row>
    <row r="28" spans="8:15" ht="16.5" customHeight="1" x14ac:dyDescent="0.2">
      <c r="K28" t="s">
        <v>49</v>
      </c>
      <c r="M28" s="2"/>
      <c r="N28" t="s">
        <v>50</v>
      </c>
      <c r="O28" s="3"/>
    </row>
    <row r="29" spans="8:15" ht="14.25" customHeight="1" x14ac:dyDescent="0.2"/>
    <row r="30" spans="8:15" x14ac:dyDescent="0.2">
      <c r="H30" s="13" t="s">
        <v>39</v>
      </c>
      <c r="I30" s="14"/>
      <c r="J30" s="14"/>
      <c r="K30" s="14"/>
      <c r="L30" s="14"/>
      <c r="M30" s="15" t="s">
        <v>40</v>
      </c>
      <c r="N30" s="26">
        <v>200</v>
      </c>
      <c r="O30" s="16" t="s">
        <v>32</v>
      </c>
    </row>
    <row r="31" spans="8:15" x14ac:dyDescent="0.2">
      <c r="H31" s="17"/>
      <c r="O31" s="20"/>
    </row>
    <row r="32" spans="8:15" x14ac:dyDescent="0.2">
      <c r="H32" s="17"/>
      <c r="I32" t="s">
        <v>26</v>
      </c>
      <c r="M32" s="2" t="s">
        <v>27</v>
      </c>
      <c r="N32" s="6">
        <f>INT(((F10*F16/N30)+M15)/(J15+M15))+1</f>
        <v>3</v>
      </c>
      <c r="O32" s="18" t="s">
        <v>33</v>
      </c>
    </row>
    <row r="33" spans="1:15" x14ac:dyDescent="0.2">
      <c r="H33" s="17"/>
      <c r="O33" s="20"/>
    </row>
    <row r="34" spans="1:15" x14ac:dyDescent="0.2">
      <c r="H34" s="17"/>
      <c r="I34" t="s">
        <v>37</v>
      </c>
      <c r="M34" s="2" t="s">
        <v>31</v>
      </c>
      <c r="N34" s="11">
        <f>N32*J15+(N32-1)*M15</f>
        <v>17.389999999999997</v>
      </c>
      <c r="O34" s="18" t="s">
        <v>32</v>
      </c>
    </row>
    <row r="35" spans="1:15" x14ac:dyDescent="0.2">
      <c r="H35" s="17"/>
      <c r="N35" s="19"/>
      <c r="O35" s="20"/>
    </row>
    <row r="36" spans="1:15" x14ac:dyDescent="0.2">
      <c r="H36" s="17"/>
      <c r="I36" t="s">
        <v>36</v>
      </c>
      <c r="M36" s="2" t="s">
        <v>34</v>
      </c>
      <c r="N36" s="11">
        <f>INT(F10*F16/N34)</f>
        <v>168</v>
      </c>
      <c r="O36" s="18" t="s">
        <v>32</v>
      </c>
    </row>
    <row r="37" spans="1:15" x14ac:dyDescent="0.2">
      <c r="H37" s="17"/>
      <c r="O37" s="20"/>
    </row>
    <row r="38" spans="1:15" x14ac:dyDescent="0.2">
      <c r="H38" s="17"/>
      <c r="I38" t="s">
        <v>35</v>
      </c>
      <c r="M38" s="2" t="s">
        <v>38</v>
      </c>
      <c r="N38" s="6">
        <f>INT(N36-2*O15)</f>
        <v>157</v>
      </c>
      <c r="O38" s="18" t="s">
        <v>32</v>
      </c>
    </row>
    <row r="39" spans="1:15" x14ac:dyDescent="0.2">
      <c r="H39" s="17"/>
      <c r="O39" s="20"/>
    </row>
    <row r="40" spans="1:15" x14ac:dyDescent="0.2">
      <c r="A40" t="s">
        <v>15</v>
      </c>
      <c r="B40" t="s">
        <v>44</v>
      </c>
      <c r="H40" s="17"/>
      <c r="I40" t="s">
        <v>41</v>
      </c>
      <c r="M40" s="2" t="s">
        <v>48</v>
      </c>
      <c r="N40" s="6">
        <f>INT(VLOOKUP(F15,pipe,6,TRUE)*(N32*N38+2*N34))</f>
        <v>8517</v>
      </c>
      <c r="O40" s="18" t="s">
        <v>6</v>
      </c>
    </row>
    <row r="41" spans="1:15" x14ac:dyDescent="0.2">
      <c r="B41" t="s">
        <v>45</v>
      </c>
      <c r="H41" s="17"/>
      <c r="O41" s="20"/>
    </row>
    <row r="42" spans="1:15" x14ac:dyDescent="0.2">
      <c r="A42" t="s">
        <v>16</v>
      </c>
      <c r="B42" t="s">
        <v>46</v>
      </c>
      <c r="H42" s="21"/>
      <c r="I42" s="6" t="s">
        <v>47</v>
      </c>
      <c r="J42" s="6"/>
      <c r="K42" s="6"/>
      <c r="L42" s="6"/>
      <c r="M42" s="22" t="s">
        <v>7</v>
      </c>
      <c r="N42" s="6">
        <f>INT(N34*N36)</f>
        <v>2921</v>
      </c>
      <c r="O42" s="23" t="s">
        <v>8</v>
      </c>
    </row>
    <row r="43" spans="1:15" x14ac:dyDescent="0.2">
      <c r="K43" t="s">
        <v>49</v>
      </c>
      <c r="M43" s="2"/>
      <c r="N43" t="s">
        <v>50</v>
      </c>
      <c r="O43" s="3"/>
    </row>
  </sheetData>
  <phoneticPr fontId="0" type="noConversion"/>
  <pageMargins left="0.25" right="0.25" top="0.25" bottom="0.25" header="0.5" footer="0.5"/>
  <pageSetup orientation="landscape" horizontalDpi="4294967292" verticalDpi="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utoCADLT.Drawing.4" shapeId="2049" r:id="rId4">
          <objectPr defaultSize="0" autoPict="0" altText="Storm grate" r:id="rId5">
            <anchor moveWithCells="1">
              <from>
                <xdr:col>1</xdr:col>
                <xdr:colOff>9525</xdr:colOff>
                <xdr:row>17</xdr:row>
                <xdr:rowOff>152400</xdr:rowOff>
              </from>
              <to>
                <xdr:col>6</xdr:col>
                <xdr:colOff>314325</xdr:colOff>
                <xdr:row>37</xdr:row>
                <xdr:rowOff>0</xdr:rowOff>
              </to>
            </anchor>
          </objectPr>
        </oleObject>
      </mc:Choice>
      <mc:Fallback>
        <oleObject progId="AutoCADLT.Drawing.4" shapeId="2049" r:id="rId4"/>
      </mc:Fallback>
    </mc:AlternateContent>
    <mc:AlternateContent xmlns:mc="http://schemas.openxmlformats.org/markup-compatibility/2006">
      <mc:Choice Requires="x14">
        <oleObject progId="Document" shapeId="2050" r:id="rId6">
          <objectPr defaultSize="0" autoPict="0" altText="Same chart" r:id="rId7">
            <anchor moveWithCells="1">
              <from>
                <xdr:col>7</xdr:col>
                <xdr:colOff>238125</xdr:colOff>
                <xdr:row>2</xdr:row>
                <xdr:rowOff>47625</xdr:rowOff>
              </from>
              <to>
                <xdr:col>14</xdr:col>
                <xdr:colOff>28575</xdr:colOff>
                <xdr:row>12</xdr:row>
                <xdr:rowOff>95250</xdr:rowOff>
              </to>
            </anchor>
          </objectPr>
        </oleObject>
      </mc:Choice>
      <mc:Fallback>
        <oleObject progId="Document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E321-B876-451C-B360-7E03E5FB01F4}">
  <dimension ref="A1:I11"/>
  <sheetViews>
    <sheetView workbookViewId="0">
      <selection activeCell="D21" sqref="D21"/>
    </sheetView>
  </sheetViews>
  <sheetFormatPr defaultRowHeight="12.75" x14ac:dyDescent="0.2"/>
  <sheetData>
    <row r="1" spans="1:9" x14ac:dyDescent="0.2">
      <c r="A1" t="s">
        <v>56</v>
      </c>
      <c r="B1" t="s">
        <v>19</v>
      </c>
      <c r="D1" t="s">
        <v>20</v>
      </c>
      <c r="E1" t="s">
        <v>21</v>
      </c>
      <c r="F1" t="s">
        <v>22</v>
      </c>
      <c r="G1" t="s">
        <v>30</v>
      </c>
      <c r="H1" t="s">
        <v>43</v>
      </c>
      <c r="I1" t="s">
        <v>59</v>
      </c>
    </row>
    <row r="2" spans="1:9" x14ac:dyDescent="0.2">
      <c r="A2">
        <v>0.31</v>
      </c>
      <c r="B2">
        <v>60</v>
      </c>
      <c r="D2">
        <v>12</v>
      </c>
      <c r="E2">
        <v>1.2</v>
      </c>
      <c r="F2">
        <v>1.1000000000000001</v>
      </c>
      <c r="G2">
        <v>1.75</v>
      </c>
      <c r="H2">
        <v>1.25</v>
      </c>
      <c r="I2">
        <v>1.84</v>
      </c>
    </row>
    <row r="3" spans="1:9" x14ac:dyDescent="0.2">
      <c r="A3">
        <v>0.39</v>
      </c>
      <c r="B3">
        <v>48</v>
      </c>
      <c r="D3">
        <v>15</v>
      </c>
      <c r="E3">
        <v>1.46</v>
      </c>
      <c r="F3">
        <v>1.07</v>
      </c>
      <c r="G3">
        <v>2</v>
      </c>
      <c r="H3">
        <v>1.04</v>
      </c>
      <c r="I3">
        <v>2.4300000000000002</v>
      </c>
    </row>
    <row r="4" spans="1:9" x14ac:dyDescent="0.2">
      <c r="A4">
        <v>0.45</v>
      </c>
      <c r="B4">
        <v>42</v>
      </c>
      <c r="D4">
        <v>18</v>
      </c>
      <c r="E4">
        <v>1.77</v>
      </c>
      <c r="F4">
        <v>1.19</v>
      </c>
      <c r="G4">
        <v>2.36</v>
      </c>
      <c r="H4">
        <v>0.9</v>
      </c>
      <c r="I4">
        <v>3.3</v>
      </c>
    </row>
    <row r="5" spans="1:9" x14ac:dyDescent="0.2">
      <c r="A5">
        <v>0.43</v>
      </c>
      <c r="B5">
        <v>42</v>
      </c>
      <c r="D5">
        <v>24</v>
      </c>
      <c r="E5">
        <v>2.3199999999999998</v>
      </c>
      <c r="F5">
        <v>1.57</v>
      </c>
      <c r="G5">
        <v>2.97</v>
      </c>
      <c r="H5">
        <v>0.71</v>
      </c>
      <c r="I5">
        <v>5.49</v>
      </c>
    </row>
    <row r="6" spans="1:9" x14ac:dyDescent="0.2">
      <c r="A6">
        <v>0.52</v>
      </c>
      <c r="B6">
        <v>36</v>
      </c>
      <c r="D6">
        <v>30</v>
      </c>
      <c r="E6">
        <v>2.93</v>
      </c>
      <c r="F6">
        <v>2.23</v>
      </c>
      <c r="G6">
        <v>4.04</v>
      </c>
      <c r="H6">
        <v>0.64</v>
      </c>
      <c r="I6">
        <v>8.09</v>
      </c>
    </row>
    <row r="7" spans="1:9" x14ac:dyDescent="0.2">
      <c r="A7">
        <v>0.64</v>
      </c>
      <c r="B7">
        <v>30</v>
      </c>
      <c r="D7">
        <v>36</v>
      </c>
      <c r="E7">
        <v>3.48</v>
      </c>
      <c r="F7">
        <v>2.09</v>
      </c>
      <c r="G7">
        <v>4.5199999999999996</v>
      </c>
      <c r="H7">
        <v>0.52</v>
      </c>
      <c r="I7">
        <v>10.74</v>
      </c>
    </row>
    <row r="8" spans="1:9" x14ac:dyDescent="0.2">
      <c r="A8">
        <v>0.71</v>
      </c>
      <c r="B8">
        <v>24</v>
      </c>
      <c r="D8">
        <v>42</v>
      </c>
      <c r="E8">
        <v>3.98</v>
      </c>
      <c r="F8">
        <v>2.92</v>
      </c>
      <c r="G8">
        <v>5.44</v>
      </c>
      <c r="H8">
        <v>0.43</v>
      </c>
      <c r="I8">
        <v>14.22</v>
      </c>
    </row>
    <row r="9" spans="1:9" x14ac:dyDescent="0.2">
      <c r="A9">
        <v>0.9</v>
      </c>
      <c r="B9">
        <v>18</v>
      </c>
      <c r="D9">
        <v>42</v>
      </c>
      <c r="E9">
        <v>3.9</v>
      </c>
      <c r="F9">
        <v>2.1</v>
      </c>
      <c r="G9">
        <v>4.95</v>
      </c>
      <c r="H9">
        <v>0.45</v>
      </c>
      <c r="I9">
        <v>13.29</v>
      </c>
    </row>
    <row r="10" spans="1:9" x14ac:dyDescent="0.2">
      <c r="A10">
        <v>1.04</v>
      </c>
      <c r="B10">
        <v>15</v>
      </c>
      <c r="D10">
        <v>48</v>
      </c>
      <c r="E10">
        <v>4.3899999999999997</v>
      </c>
      <c r="F10">
        <v>2.11</v>
      </c>
      <c r="G10">
        <v>5.45</v>
      </c>
      <c r="H10">
        <v>0.39</v>
      </c>
      <c r="I10">
        <v>16.84</v>
      </c>
    </row>
    <row r="11" spans="1:9" x14ac:dyDescent="0.2">
      <c r="A11">
        <v>1.25</v>
      </c>
      <c r="B11">
        <v>12</v>
      </c>
      <c r="D11">
        <v>60</v>
      </c>
      <c r="E11">
        <v>5.46</v>
      </c>
      <c r="F11">
        <v>2.87</v>
      </c>
      <c r="G11">
        <v>5.91</v>
      </c>
      <c r="H11">
        <v>0.31</v>
      </c>
      <c r="I11">
        <v>26.6</v>
      </c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Input Available Area</vt:lpstr>
      <vt:lpstr>Input Desired Pipe Size</vt:lpstr>
      <vt:lpstr>Tables</vt:lpstr>
      <vt:lpstr>daf</vt:lpstr>
      <vt:lpstr>pipe</vt:lpstr>
    </vt:vector>
  </TitlesOfParts>
  <Company>Advanced Drainage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ADS</dc:creator>
  <cp:lastModifiedBy>Todd, Jordan R.</cp:lastModifiedBy>
  <cp:lastPrinted>1999-04-09T20:50:59Z</cp:lastPrinted>
  <dcterms:created xsi:type="dcterms:W3CDTF">1999-04-07T12:56:33Z</dcterms:created>
  <dcterms:modified xsi:type="dcterms:W3CDTF">2026-03-26T17:34:39Z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5099e-347c-40ed-99aa-a56380e2bef0_Enabled">
    <vt:lpwstr>true</vt:lpwstr>
  </property>
  <property fmtid="{D5CDD505-2E9C-101B-9397-08002B2CF9AE}" pid="3" name="MSIP_Label_5235099e-347c-40ed-99aa-a56380e2bef0_SetDate">
    <vt:lpwstr>2026-03-26T17:34:39Z</vt:lpwstr>
  </property>
  <property fmtid="{D5CDD505-2E9C-101B-9397-08002B2CF9AE}" pid="4" name="MSIP_Label_5235099e-347c-40ed-99aa-a56380e2bef0_Method">
    <vt:lpwstr>Standard</vt:lpwstr>
  </property>
  <property fmtid="{D5CDD505-2E9C-101B-9397-08002B2CF9AE}" pid="5" name="MSIP_Label_5235099e-347c-40ed-99aa-a56380e2bef0_Name">
    <vt:lpwstr>defa4170-0d19-0005-0004-bc88714345d2</vt:lpwstr>
  </property>
  <property fmtid="{D5CDD505-2E9C-101B-9397-08002B2CF9AE}" pid="6" name="MSIP_Label_5235099e-347c-40ed-99aa-a56380e2bef0_SiteId">
    <vt:lpwstr>fda2b22e-4307-43b1-bf9a-373f232dae49</vt:lpwstr>
  </property>
  <property fmtid="{D5CDD505-2E9C-101B-9397-08002B2CF9AE}" pid="7" name="MSIP_Label_5235099e-347c-40ed-99aa-a56380e2bef0_ActionId">
    <vt:lpwstr>082ae936-0a18-4cbf-8dfb-b3895c837367</vt:lpwstr>
  </property>
  <property fmtid="{D5CDD505-2E9C-101B-9397-08002B2CF9AE}" pid="8" name="MSIP_Label_5235099e-347c-40ed-99aa-a56380e2bef0_ContentBits">
    <vt:lpwstr>0</vt:lpwstr>
  </property>
  <property fmtid="{D5CDD505-2E9C-101B-9397-08002B2CF9AE}" pid="9" name="MSIP_Label_5235099e-347c-40ed-99aa-a56380e2bef0_Tag">
    <vt:lpwstr>10, 3, 0, 1</vt:lpwstr>
  </property>
</Properties>
</file>