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wp.sharepoint.com/projects/Documents/T-17-007/"/>
    </mc:Choice>
  </mc:AlternateContent>
  <bookViews>
    <workbookView xWindow="0" yWindow="0" windowWidth="23040" windowHeight="8532" tabRatio="700"/>
  </bookViews>
  <sheets>
    <sheet name="Bioretention" sheetId="2" r:id="rId1"/>
    <sheet name="Permeable Pavement" sheetId="12" r:id="rId2"/>
    <sheet name="Infiltration" sheetId="3" r:id="rId3"/>
    <sheet name="Green Roof" sheetId="1" r:id="rId4"/>
    <sheet name="Disconnection-Simple" sheetId="6" r:id="rId5"/>
    <sheet name="Disconnection-Forest" sheetId="15" r:id="rId6"/>
    <sheet name="Disconnection-Filter Path" sheetId="16" r:id="rId7"/>
    <sheet name="Grass Channel" sheetId="10" r:id="rId8"/>
    <sheet name="Dry Swale" sheetId="14" r:id="rId9"/>
    <sheet name="RSC" sheetId="24" r:id="rId10"/>
    <sheet name="Filtering Systems" sheetId="19" r:id="rId11"/>
  </sheets>
  <calcPr calcId="171027"/>
</workbook>
</file>

<file path=xl/calcChain.xml><?xml version="1.0" encoding="utf-8"?>
<calcChain xmlns="http://schemas.openxmlformats.org/spreadsheetml/2006/main">
  <c r="C33" i="10" l="1"/>
  <c r="N4" i="10"/>
  <c r="P4" i="10"/>
  <c r="N5" i="10"/>
  <c r="P5" i="10" s="1"/>
  <c r="N6" i="10"/>
  <c r="P6" i="10" s="1"/>
  <c r="B7" i="10"/>
  <c r="E7" i="10"/>
  <c r="N7" i="10" s="1"/>
  <c r="H7" i="10"/>
  <c r="K7" i="10"/>
  <c r="C12" i="10"/>
  <c r="O4" i="10" l="1"/>
  <c r="O5" i="10"/>
  <c r="O7" i="10"/>
  <c r="O6" i="10"/>
  <c r="P7" i="10"/>
  <c r="B14" i="10"/>
  <c r="E11" i="3" l="1"/>
  <c r="C13" i="24"/>
  <c r="B17" i="24" s="1"/>
  <c r="C15" i="14"/>
  <c r="B18" i="14" s="1"/>
  <c r="C15" i="2"/>
  <c r="B13" i="19" l="1"/>
  <c r="C22" i="3"/>
  <c r="C54" i="10" l="1"/>
  <c r="E43" i="10"/>
  <c r="B25" i="10"/>
  <c r="D5" i="16"/>
  <c r="D6" i="16"/>
  <c r="C32" i="10" l="1"/>
  <c r="B35" i="10" l="1"/>
  <c r="C52" i="10" s="1"/>
  <c r="B56" i="10" l="1"/>
  <c r="C62" i="10" s="1"/>
  <c r="B64" i="10" s="1"/>
  <c r="C42" i="10"/>
  <c r="B46" i="10" l="1"/>
  <c r="E53" i="10" s="1"/>
  <c r="B68" i="10" s="1"/>
  <c r="D4" i="16" l="1"/>
  <c r="B7" i="16"/>
  <c r="B11" i="16" s="1"/>
  <c r="D6" i="15"/>
  <c r="D8" i="15"/>
  <c r="D7" i="15"/>
  <c r="B9" i="15"/>
  <c r="B13" i="15" s="1"/>
  <c r="D5" i="15"/>
  <c r="C9" i="3" l="1"/>
  <c r="C21" i="3" s="1"/>
  <c r="B25" i="3" s="1"/>
  <c r="C6" i="3"/>
  <c r="E9" i="3" l="1"/>
  <c r="B9" i="6"/>
  <c r="B13" i="6" s="1"/>
  <c r="D8" i="6"/>
  <c r="D6" i="6"/>
  <c r="D5" i="6"/>
  <c r="B13" i="12"/>
  <c r="B13" i="1"/>
  <c r="B18" i="2" l="1"/>
</calcChain>
</file>

<file path=xl/sharedStrings.xml><?xml version="1.0" encoding="utf-8"?>
<sst xmlns="http://schemas.openxmlformats.org/spreadsheetml/2006/main" count="273" uniqueCount="145">
  <si>
    <t>Green Roof Area (SA)</t>
  </si>
  <si>
    <t>Media Depth (d)</t>
  </si>
  <si>
    <t>Drainage Layer Depth (DL)</t>
  </si>
  <si>
    <t>ft</t>
  </si>
  <si>
    <t>in</t>
  </si>
  <si>
    <t>Surface Area (SA)</t>
  </si>
  <si>
    <t>ft/day</t>
  </si>
  <si>
    <t>days</t>
  </si>
  <si>
    <t>Field verified infiltration rate (i)</t>
  </si>
  <si>
    <t>ft/s</t>
  </si>
  <si>
    <t>Flow Velocity (V)</t>
  </si>
  <si>
    <t>%</t>
  </si>
  <si>
    <t>Runoff</t>
  </si>
  <si>
    <t>Impervious Cover</t>
  </si>
  <si>
    <t>Forest Cover/Open Space</t>
  </si>
  <si>
    <t>Turf Cover</t>
  </si>
  <si>
    <t>Cover Type</t>
  </si>
  <si>
    <t>Storage Volume (Sv)</t>
  </si>
  <si>
    <r>
      <t>ft</t>
    </r>
    <r>
      <rPr>
        <vertAlign val="superscript"/>
        <sz val="12"/>
        <rFont val="Arial"/>
        <family val="2"/>
      </rPr>
      <t>2</t>
    </r>
  </si>
  <si>
    <r>
      <t>ft</t>
    </r>
    <r>
      <rPr>
        <vertAlign val="superscript"/>
        <sz val="12"/>
        <color theme="1"/>
        <rFont val="Arial"/>
        <family val="2"/>
      </rPr>
      <t>3</t>
    </r>
  </si>
  <si>
    <r>
      <t>Depth of Filter Media (d</t>
    </r>
    <r>
      <rPr>
        <vertAlign val="subscript"/>
        <sz val="12"/>
        <color theme="1"/>
        <rFont val="Arial"/>
        <family val="2"/>
      </rPr>
      <t>media</t>
    </r>
    <r>
      <rPr>
        <sz val="12"/>
        <color theme="1"/>
        <rFont val="Arial"/>
        <family val="2"/>
      </rPr>
      <t>)</t>
    </r>
  </si>
  <si>
    <r>
      <t>Filter Media Effective Porosity (ŋ</t>
    </r>
    <r>
      <rPr>
        <vertAlign val="subscript"/>
        <sz val="12"/>
        <color theme="1"/>
        <rFont val="Arial"/>
        <family val="2"/>
      </rPr>
      <t>media</t>
    </r>
    <r>
      <rPr>
        <sz val="12"/>
        <color theme="1"/>
        <rFont val="Arial"/>
        <family val="2"/>
      </rPr>
      <t>)</t>
    </r>
  </si>
  <si>
    <r>
      <t>Depth of Gravel Layer (d</t>
    </r>
    <r>
      <rPr>
        <vertAlign val="subscript"/>
        <sz val="12"/>
        <color theme="1"/>
        <rFont val="Arial"/>
        <family val="2"/>
      </rPr>
      <t>gravel</t>
    </r>
    <r>
      <rPr>
        <sz val="12"/>
        <color theme="1"/>
        <rFont val="Arial"/>
        <family val="2"/>
      </rPr>
      <t>)</t>
    </r>
  </si>
  <si>
    <r>
      <t>Gravel Layer Effective Porosity (ŋ</t>
    </r>
    <r>
      <rPr>
        <vertAlign val="subscript"/>
        <sz val="12"/>
        <color theme="1"/>
        <rFont val="Arial"/>
        <family val="2"/>
      </rPr>
      <t>gravel</t>
    </r>
    <r>
      <rPr>
        <sz val="12"/>
        <color theme="1"/>
        <rFont val="Arial"/>
        <family val="2"/>
      </rPr>
      <t>)</t>
    </r>
  </si>
  <si>
    <r>
      <t>Max. Ponding Depth (d</t>
    </r>
    <r>
      <rPr>
        <vertAlign val="subscript"/>
        <sz val="12"/>
        <color theme="1"/>
        <rFont val="Arial"/>
        <family val="2"/>
      </rPr>
      <t>ponding</t>
    </r>
    <r>
      <rPr>
        <sz val="12"/>
        <color theme="1"/>
        <rFont val="Arial"/>
        <family val="2"/>
      </rPr>
      <t>)</t>
    </r>
  </si>
  <si>
    <t>Soil Type A</t>
  </si>
  <si>
    <t>CN</t>
  </si>
  <si>
    <t>Soil Type B</t>
  </si>
  <si>
    <t>Soil Type C</t>
  </si>
  <si>
    <t>Soil Type D</t>
  </si>
  <si>
    <t>Total</t>
  </si>
  <si>
    <t>% Cover</t>
  </si>
  <si>
    <t>Rv</t>
  </si>
  <si>
    <t>Sv</t>
  </si>
  <si>
    <t>Bioretention</t>
  </si>
  <si>
    <r>
      <t>ft</t>
    </r>
    <r>
      <rPr>
        <b/>
        <vertAlign val="superscript"/>
        <sz val="12"/>
        <color theme="1"/>
        <rFont val="Arial"/>
        <family val="2"/>
      </rPr>
      <t>3</t>
    </r>
  </si>
  <si>
    <t>(value to input into column E of BMPs sheet)</t>
  </si>
  <si>
    <t>Green Roof</t>
  </si>
  <si>
    <r>
      <t>ft</t>
    </r>
    <r>
      <rPr>
        <vertAlign val="superscript"/>
        <sz val="12"/>
        <color theme="1"/>
        <rFont val="Arial"/>
        <family val="2"/>
      </rPr>
      <t>2</t>
    </r>
  </si>
  <si>
    <r>
      <t>Sv = SA X [(d x ŋ</t>
    </r>
    <r>
      <rPr>
        <vertAlign val="sub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>) + (DL x ŋ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)]/12</t>
    </r>
  </si>
  <si>
    <t>Dry Swale</t>
  </si>
  <si>
    <r>
      <t>Sv =Ap[(d</t>
    </r>
    <r>
      <rPr>
        <b/>
        <vertAlign val="subscript"/>
        <sz val="12"/>
        <color theme="1"/>
        <rFont val="Arial"/>
        <family val="2"/>
      </rPr>
      <t>p</t>
    </r>
    <r>
      <rPr>
        <b/>
        <sz val="12"/>
        <color theme="1"/>
        <rFont val="Arial"/>
        <family val="2"/>
      </rPr>
      <t xml:space="preserve"> x ŋ</t>
    </r>
    <r>
      <rPr>
        <b/>
        <vertAlign val="subscript"/>
        <sz val="12"/>
        <color theme="1"/>
        <rFont val="Arial"/>
        <family val="2"/>
      </rPr>
      <t>r</t>
    </r>
    <r>
      <rPr>
        <b/>
        <sz val="12"/>
        <color theme="1"/>
        <rFont val="Arial"/>
        <family val="2"/>
      </rPr>
      <t>) + (i/2 x t</t>
    </r>
    <r>
      <rPr>
        <b/>
        <vertAlign val="subscript"/>
        <sz val="12"/>
        <color theme="1"/>
        <rFont val="Arial"/>
        <family val="2"/>
      </rPr>
      <t>f</t>
    </r>
    <r>
      <rPr>
        <b/>
        <sz val="12"/>
        <color theme="1"/>
        <rFont val="Arial"/>
        <family val="2"/>
      </rPr>
      <t>)]</t>
    </r>
  </si>
  <si>
    <r>
      <t>Depth of reservoir layer (d</t>
    </r>
    <r>
      <rPr>
        <vertAlign val="subscript"/>
        <sz val="12"/>
        <color theme="1"/>
        <rFont val="Arial"/>
        <family val="2"/>
      </rPr>
      <t>p</t>
    </r>
    <r>
      <rPr>
        <sz val="12"/>
        <color theme="1"/>
        <rFont val="Arial"/>
        <family val="2"/>
      </rPr>
      <t>)</t>
    </r>
  </si>
  <si>
    <t>Permeable pavement surface area (Ap)</t>
  </si>
  <si>
    <t>Permeable Pavement</t>
  </si>
  <si>
    <r>
      <t>Effective porosity of reservoir layer (ŋ</t>
    </r>
    <r>
      <rPr>
        <vertAlign val="subscript"/>
        <sz val="12"/>
        <color theme="1"/>
        <rFont val="Arial"/>
        <family val="2"/>
      </rPr>
      <t>r</t>
    </r>
    <r>
      <rPr>
        <sz val="12"/>
        <color theme="1"/>
        <rFont val="Arial"/>
        <family val="2"/>
      </rPr>
      <t>)</t>
    </r>
  </si>
  <si>
    <t>Time to fill the reservoir layer (tf)</t>
  </si>
  <si>
    <t>Simple Disconnection</t>
  </si>
  <si>
    <t>Level spreader being used?</t>
  </si>
  <si>
    <t>Yes</t>
  </si>
  <si>
    <t>No</t>
  </si>
  <si>
    <t>Disconnection area width</t>
  </si>
  <si>
    <t>Disconnection area length</t>
  </si>
  <si>
    <t>Turf reinforcement at disconnection area?</t>
  </si>
  <si>
    <t>Slope of receiving area</t>
  </si>
  <si>
    <r>
      <t>Sv = 1/12 x SA</t>
    </r>
    <r>
      <rPr>
        <vertAlign val="subscript"/>
        <sz val="12"/>
        <color theme="1"/>
        <rFont val="Arial"/>
        <family val="2"/>
      </rPr>
      <t>disconnection</t>
    </r>
  </si>
  <si>
    <r>
      <t>Disconnection area (SA</t>
    </r>
    <r>
      <rPr>
        <vertAlign val="subscript"/>
        <sz val="12"/>
        <color theme="1"/>
        <rFont val="Arial"/>
        <family val="2"/>
      </rPr>
      <t>disconnection</t>
    </r>
    <r>
      <rPr>
        <sz val="12"/>
        <color theme="1"/>
        <rFont val="Arial"/>
        <family val="2"/>
      </rPr>
      <t>)</t>
    </r>
  </si>
  <si>
    <t>Infiltration</t>
  </si>
  <si>
    <r>
      <t>Maximum Depth of Runoff that can be Infiltrated, ft (d</t>
    </r>
    <r>
      <rPr>
        <b/>
        <vertAlign val="subscript"/>
        <sz val="12"/>
        <color theme="1"/>
        <rFont val="Arial"/>
        <family val="2"/>
      </rPr>
      <t>max</t>
    </r>
    <r>
      <rPr>
        <b/>
        <sz val="12"/>
        <color theme="1"/>
        <rFont val="Arial"/>
        <family val="2"/>
      </rPr>
      <t>)</t>
    </r>
  </si>
  <si>
    <t>Field-Verified Infiltration Rate (i)</t>
  </si>
  <si>
    <t>day</t>
  </si>
  <si>
    <r>
      <t>Depth of Ponded Area (d</t>
    </r>
    <r>
      <rPr>
        <vertAlign val="subscript"/>
        <sz val="12"/>
        <color theme="1"/>
        <rFont val="Arial"/>
        <family val="2"/>
      </rPr>
      <t>pond</t>
    </r>
    <r>
      <rPr>
        <sz val="12"/>
        <color theme="1"/>
        <rFont val="Arial"/>
        <family val="2"/>
      </rPr>
      <t>)</t>
    </r>
  </si>
  <si>
    <r>
      <t>Depth of Stone Reservoir (d</t>
    </r>
    <r>
      <rPr>
        <vertAlign val="subscript"/>
        <sz val="12"/>
        <color theme="1"/>
        <rFont val="Arial"/>
        <family val="2"/>
      </rPr>
      <t>gravel</t>
    </r>
    <r>
      <rPr>
        <sz val="12"/>
        <color theme="1"/>
        <rFont val="Arial"/>
        <family val="2"/>
      </rPr>
      <t>)</t>
    </r>
  </si>
  <si>
    <r>
      <t>Stone Reservoir Effective Porosity (ŋ</t>
    </r>
    <r>
      <rPr>
        <vertAlign val="subscript"/>
        <sz val="12"/>
        <color theme="1"/>
        <rFont val="Arial"/>
        <family val="2"/>
      </rPr>
      <t>r</t>
    </r>
    <r>
      <rPr>
        <sz val="12"/>
        <color theme="1"/>
        <rFont val="Arial"/>
        <family val="2"/>
      </rPr>
      <t>)</t>
    </r>
  </si>
  <si>
    <r>
      <t>Max. Drawdown Time (t</t>
    </r>
    <r>
      <rPr>
        <vertAlign val="subscript"/>
        <sz val="12"/>
        <color theme="1"/>
        <rFont val="Arial"/>
        <family val="2"/>
      </rPr>
      <t>d</t>
    </r>
    <r>
      <rPr>
        <sz val="12"/>
        <color theme="1"/>
        <rFont val="Arial"/>
        <family val="2"/>
      </rPr>
      <t>)</t>
    </r>
  </si>
  <si>
    <r>
      <t>d</t>
    </r>
    <r>
      <rPr>
        <b/>
        <vertAlign val="subscript"/>
        <sz val="12"/>
        <color theme="1"/>
        <rFont val="Arial"/>
        <family val="2"/>
      </rPr>
      <t>max</t>
    </r>
  </si>
  <si>
    <r>
      <t>d</t>
    </r>
    <r>
      <rPr>
        <b/>
        <vertAlign val="subscript"/>
        <sz val="12"/>
        <color theme="1"/>
        <rFont val="Arial"/>
        <family val="2"/>
      </rPr>
      <t>max</t>
    </r>
    <r>
      <rPr>
        <b/>
        <sz val="12"/>
        <color theme="1"/>
        <rFont val="Arial"/>
        <family val="2"/>
      </rPr>
      <t xml:space="preserve"> = i/2 x t</t>
    </r>
    <r>
      <rPr>
        <b/>
        <vertAlign val="subscript"/>
        <sz val="12"/>
        <color theme="1"/>
        <rFont val="Arial"/>
        <family val="2"/>
      </rPr>
      <t>d</t>
    </r>
  </si>
  <si>
    <t>Maximum Water Depth for Infiltration Practice</t>
  </si>
  <si>
    <t>Infiltration Practice Depth</t>
  </si>
  <si>
    <t>Storage Volume</t>
  </si>
  <si>
    <r>
      <t>Sv = SA x [d</t>
    </r>
    <r>
      <rPr>
        <b/>
        <vertAlign val="subscript"/>
        <sz val="12"/>
        <color theme="1"/>
        <rFont val="Arial"/>
        <family val="2"/>
      </rPr>
      <t>water</t>
    </r>
    <r>
      <rPr>
        <b/>
        <sz val="12"/>
        <color theme="1"/>
        <rFont val="Arial"/>
        <family val="2"/>
      </rPr>
      <t xml:space="preserve"> + (i/2 x t</t>
    </r>
    <r>
      <rPr>
        <b/>
        <vertAlign val="subscript"/>
        <sz val="12"/>
        <color theme="1"/>
        <rFont val="Arial"/>
        <family val="2"/>
      </rPr>
      <t>f</t>
    </r>
    <r>
      <rPr>
        <b/>
        <sz val="12"/>
        <color theme="1"/>
        <rFont val="Arial"/>
        <family val="2"/>
      </rPr>
      <t>)]</t>
    </r>
  </si>
  <si>
    <r>
      <t>Depth of Water to be Infiltrated (d</t>
    </r>
    <r>
      <rPr>
        <vertAlign val="subscript"/>
        <sz val="12"/>
        <color theme="1"/>
        <rFont val="Arial"/>
        <family val="2"/>
      </rPr>
      <t>water</t>
    </r>
    <r>
      <rPr>
        <sz val="12"/>
        <color theme="1"/>
        <rFont val="Arial"/>
        <family val="2"/>
      </rPr>
      <t>)</t>
    </r>
  </si>
  <si>
    <t>Time to Fill the Infiltration Practice</t>
  </si>
  <si>
    <t>Impervious Surface Disconnection - Simple Disconnection</t>
  </si>
  <si>
    <t>Disconnection to Forest/Open Area</t>
  </si>
  <si>
    <t>Impervious Surface Disconnection - Disconnection to Forest/Open Area</t>
  </si>
  <si>
    <t>Slope of receiving area (first 10 feet)</t>
  </si>
  <si>
    <t>Slope of receiving area (after first 10 feet)</t>
  </si>
  <si>
    <t>Impervious Surface Disconnection - Soil Compost-Amended Filter Path</t>
  </si>
  <si>
    <t>Disconnection to a Soil Compost-Amended Filter Path</t>
  </si>
  <si>
    <t>Grass Channel</t>
  </si>
  <si>
    <t>Roughness Coefficient (n)</t>
  </si>
  <si>
    <t>Channel Slope (S)</t>
  </si>
  <si>
    <t>ft/ft</t>
  </si>
  <si>
    <t>Channel Width (W)</t>
  </si>
  <si>
    <t>Flow Depth (D)</t>
  </si>
  <si>
    <r>
      <t>ft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/s</t>
    </r>
  </si>
  <si>
    <t>Peak Rainfall Intensity</t>
  </si>
  <si>
    <r>
      <t>i = a / [(b + t</t>
    </r>
    <r>
      <rPr>
        <vertAlign val="subscript"/>
        <sz val="12"/>
        <color theme="1"/>
        <rFont val="Arial"/>
        <family val="2"/>
      </rPr>
      <t>c</t>
    </r>
    <r>
      <rPr>
        <sz val="12"/>
        <color theme="1"/>
        <rFont val="Arial"/>
        <family val="2"/>
      </rPr>
      <t>)</t>
    </r>
    <r>
      <rPr>
        <vertAlign val="superscript"/>
        <sz val="12"/>
        <color theme="1"/>
        <rFont val="Arial"/>
        <family val="2"/>
      </rPr>
      <t>c</t>
    </r>
    <r>
      <rPr>
        <sz val="12"/>
        <color theme="1"/>
        <rFont val="Arial"/>
        <family val="2"/>
      </rPr>
      <t>]</t>
    </r>
  </si>
  <si>
    <t>min</t>
  </si>
  <si>
    <r>
      <t>Time of Concentration (t</t>
    </r>
    <r>
      <rPr>
        <vertAlign val="subscript"/>
        <sz val="12"/>
        <color theme="1"/>
        <rFont val="Arial"/>
        <family val="2"/>
      </rPr>
      <t>c</t>
    </r>
    <r>
      <rPr>
        <sz val="12"/>
        <color theme="1"/>
        <rFont val="Arial"/>
        <family val="2"/>
      </rPr>
      <t>)</t>
    </r>
  </si>
  <si>
    <t>Water Quality Event Coefficient (a)</t>
  </si>
  <si>
    <t>Water Quality Event Coefficient (b)</t>
  </si>
  <si>
    <t>Water Quality Event Coefficient (c)</t>
  </si>
  <si>
    <t>Rainfall Intensity (i)</t>
  </si>
  <si>
    <t>in/hr</t>
  </si>
  <si>
    <t>Rational Formula</t>
  </si>
  <si>
    <t>Rational Method Runoff Coefficient (C )</t>
  </si>
  <si>
    <t>Contributing Drainage Area (A)</t>
  </si>
  <si>
    <t>acres</t>
  </si>
  <si>
    <r>
      <t>WQE Peak Rate of Discharge (Q</t>
    </r>
    <r>
      <rPr>
        <b/>
        <vertAlign val="subscript"/>
        <sz val="12"/>
        <rFont val="Arial"/>
        <family val="2"/>
      </rPr>
      <t>pWQE</t>
    </r>
    <r>
      <rPr>
        <b/>
        <sz val="12"/>
        <rFont val="Arial"/>
        <family val="2"/>
      </rPr>
      <t>)</t>
    </r>
  </si>
  <si>
    <t>Minimum Width</t>
  </si>
  <si>
    <r>
      <t>W = (n x Q</t>
    </r>
    <r>
      <rPr>
        <vertAlign val="subscript"/>
        <sz val="12"/>
        <color theme="1"/>
        <rFont val="Arial"/>
        <family val="2"/>
      </rPr>
      <t>pWQE</t>
    </r>
    <r>
      <rPr>
        <sz val="12"/>
        <color theme="1"/>
        <rFont val="Arial"/>
        <family val="2"/>
      </rPr>
      <t>) / (1.49 x D</t>
    </r>
    <r>
      <rPr>
        <vertAlign val="superscript"/>
        <sz val="12"/>
        <color theme="1"/>
        <rFont val="Arial"/>
        <family val="2"/>
      </rPr>
      <t>5/2</t>
    </r>
    <r>
      <rPr>
        <sz val="12"/>
        <color theme="1"/>
        <rFont val="Arial"/>
        <family val="2"/>
      </rPr>
      <t xml:space="preserve"> x S</t>
    </r>
    <r>
      <rPr>
        <vertAlign val="superscript"/>
        <sz val="12"/>
        <color theme="1"/>
        <rFont val="Arial"/>
        <family val="2"/>
      </rPr>
      <t>1/2</t>
    </r>
    <r>
      <rPr>
        <sz val="12"/>
        <color theme="1"/>
        <rFont val="Arial"/>
        <family val="2"/>
      </rPr>
      <t>)</t>
    </r>
  </si>
  <si>
    <r>
      <t>Q</t>
    </r>
    <r>
      <rPr>
        <vertAlign val="subscript"/>
        <sz val="12"/>
        <color theme="1"/>
        <rFont val="Arial"/>
        <family val="2"/>
      </rPr>
      <t>pWQE</t>
    </r>
    <r>
      <rPr>
        <sz val="12"/>
        <color theme="1"/>
        <rFont val="Arial"/>
        <family val="2"/>
      </rPr>
      <t xml:space="preserve"> = C x i x A</t>
    </r>
  </si>
  <si>
    <r>
      <t>WQE Peak Rate of Discharge (Q</t>
    </r>
    <r>
      <rPr>
        <vertAlign val="subscript"/>
        <sz val="12"/>
        <color theme="1"/>
        <rFont val="Arial"/>
        <family val="2"/>
      </rPr>
      <t>pWQE</t>
    </r>
    <r>
      <rPr>
        <sz val="12"/>
        <color theme="1"/>
        <rFont val="Arial"/>
        <family val="2"/>
      </rPr>
      <t>)</t>
    </r>
  </si>
  <si>
    <t>Hydraulic Radius = Flow Depth (D)</t>
  </si>
  <si>
    <t>Corresponding Velocity</t>
  </si>
  <si>
    <r>
      <t>V = Q</t>
    </r>
    <r>
      <rPr>
        <vertAlign val="subscript"/>
        <sz val="12"/>
        <color theme="1"/>
        <rFont val="Arial"/>
        <family val="2"/>
      </rPr>
      <t>pWQE</t>
    </r>
    <r>
      <rPr>
        <sz val="12"/>
        <color theme="1"/>
        <rFont val="Arial"/>
        <family val="2"/>
      </rPr>
      <t xml:space="preserve"> / (W x D)</t>
    </r>
  </si>
  <si>
    <t>Channel Length</t>
  </si>
  <si>
    <t>L = 540 x V</t>
  </si>
  <si>
    <t>Flow Velocity</t>
  </si>
  <si>
    <t>Channel Length (L)</t>
  </si>
  <si>
    <t>Sv = Design Volume</t>
  </si>
  <si>
    <t>Number of Pools</t>
  </si>
  <si>
    <r>
      <t>Filter Surface Area (SA</t>
    </r>
    <r>
      <rPr>
        <vertAlign val="subscript"/>
        <sz val="12"/>
        <color theme="1"/>
        <rFont val="Arial"/>
        <family val="2"/>
      </rPr>
      <t>filter</t>
    </r>
    <r>
      <rPr>
        <sz val="12"/>
        <color theme="1"/>
        <rFont val="Arial"/>
        <family val="2"/>
      </rPr>
      <t>)</t>
    </r>
  </si>
  <si>
    <r>
      <t>Depth of Filter Media (d</t>
    </r>
    <r>
      <rPr>
        <vertAlign val="subscript"/>
        <sz val="12"/>
        <color theme="1"/>
        <rFont val="Arial"/>
        <family val="2"/>
      </rPr>
      <t>f</t>
    </r>
    <r>
      <rPr>
        <sz val="12"/>
        <color theme="1"/>
        <rFont val="Arial"/>
        <family val="2"/>
      </rPr>
      <t>)</t>
    </r>
  </si>
  <si>
    <r>
      <t>Sv = [SA</t>
    </r>
    <r>
      <rPr>
        <vertAlign val="subscript"/>
        <sz val="12"/>
        <color theme="1"/>
        <rFont val="Arial"/>
        <family val="2"/>
      </rPr>
      <t>filter</t>
    </r>
    <r>
      <rPr>
        <sz val="12"/>
        <color theme="1"/>
        <rFont val="Arial"/>
        <family val="2"/>
      </rPr>
      <t xml:space="preserve"> x k x (h</t>
    </r>
    <r>
      <rPr>
        <vertAlign val="subscript"/>
        <sz val="12"/>
        <color theme="1"/>
        <rFont val="Arial"/>
        <family val="2"/>
      </rPr>
      <t>avg</t>
    </r>
    <r>
      <rPr>
        <sz val="12"/>
        <color theme="1"/>
        <rFont val="Arial"/>
        <family val="2"/>
      </rPr>
      <t xml:space="preserve"> + d</t>
    </r>
    <r>
      <rPr>
        <vertAlign val="subscript"/>
        <sz val="12"/>
        <color theme="1"/>
        <rFont val="Arial"/>
        <family val="2"/>
      </rPr>
      <t>f</t>
    </r>
    <r>
      <rPr>
        <sz val="12"/>
        <color theme="1"/>
        <rFont val="Arial"/>
        <family val="2"/>
      </rPr>
      <t>) x t</t>
    </r>
    <r>
      <rPr>
        <vertAlign val="subscript"/>
        <sz val="12"/>
        <color theme="1"/>
        <rFont val="Arial"/>
        <family val="2"/>
      </rPr>
      <t>f</t>
    </r>
    <r>
      <rPr>
        <sz val="12"/>
        <color theme="1"/>
        <rFont val="Arial"/>
        <family val="2"/>
      </rPr>
      <t>] / d</t>
    </r>
    <r>
      <rPr>
        <vertAlign val="subscript"/>
        <sz val="12"/>
        <color theme="1"/>
        <rFont val="Arial"/>
        <family val="2"/>
      </rPr>
      <t>f</t>
    </r>
  </si>
  <si>
    <t>Coefficient of Permeability (k)</t>
  </si>
  <si>
    <r>
      <t>Average Height of Water above Filter Bed (h</t>
    </r>
    <r>
      <rPr>
        <vertAlign val="subscript"/>
        <sz val="12"/>
        <color theme="1"/>
        <rFont val="Arial"/>
        <family val="2"/>
      </rPr>
      <t>avg</t>
    </r>
    <r>
      <rPr>
        <sz val="12"/>
        <color theme="1"/>
        <rFont val="Arial"/>
        <family val="2"/>
      </rPr>
      <t>)</t>
    </r>
  </si>
  <si>
    <r>
      <t>Allowable Drawdown Time (t</t>
    </r>
    <r>
      <rPr>
        <vertAlign val="subscript"/>
        <sz val="12"/>
        <color theme="1"/>
        <rFont val="Arial"/>
        <family val="2"/>
      </rPr>
      <t>f</t>
    </r>
    <r>
      <rPr>
        <sz val="12"/>
        <color theme="1"/>
        <rFont val="Arial"/>
        <family val="2"/>
      </rPr>
      <t>)</t>
    </r>
  </si>
  <si>
    <t>Filtering Systems</t>
  </si>
  <si>
    <t>Contributing Drainage Area (acre)</t>
  </si>
  <si>
    <t>Total (acre)</t>
  </si>
  <si>
    <t>Regenerative Stormwater Conveyance</t>
  </si>
  <si>
    <r>
      <t>Max. Pool Depth (d</t>
    </r>
    <r>
      <rPr>
        <vertAlign val="subscript"/>
        <sz val="12"/>
        <color theme="1"/>
        <rFont val="Arial"/>
        <family val="2"/>
      </rPr>
      <t>pools</t>
    </r>
    <r>
      <rPr>
        <sz val="12"/>
        <color theme="1"/>
        <rFont val="Arial"/>
        <family val="2"/>
      </rPr>
      <t>)</t>
    </r>
  </si>
  <si>
    <r>
      <t>Average Pool Surface Area (SA</t>
    </r>
    <r>
      <rPr>
        <vertAlign val="subscript"/>
        <sz val="12"/>
        <color theme="1"/>
        <rFont val="Arial"/>
        <family val="2"/>
      </rPr>
      <t>average</t>
    </r>
    <r>
      <rPr>
        <sz val="12"/>
        <color theme="1"/>
        <rFont val="Arial"/>
        <family val="2"/>
      </rPr>
      <t>)</t>
    </r>
  </si>
  <si>
    <r>
      <t>SA</t>
    </r>
    <r>
      <rPr>
        <vertAlign val="subscript"/>
        <sz val="12"/>
        <color theme="1"/>
        <rFont val="Arial"/>
        <family val="2"/>
      </rPr>
      <t>average</t>
    </r>
    <r>
      <rPr>
        <sz val="12"/>
        <color theme="1"/>
        <rFont val="Arial"/>
        <family val="2"/>
      </rPr>
      <t xml:space="preserve"> = 0.5 × (Top of Pool Area + Bottom Pool Area)</t>
    </r>
  </si>
  <si>
    <r>
      <t>d</t>
    </r>
    <r>
      <rPr>
        <b/>
        <vertAlign val="subscript"/>
        <sz val="12"/>
        <color theme="1"/>
        <rFont val="Arial"/>
        <family val="2"/>
      </rPr>
      <t>water</t>
    </r>
    <r>
      <rPr>
        <b/>
        <sz val="12"/>
        <color theme="1"/>
        <rFont val="Arial"/>
        <family val="2"/>
      </rPr>
      <t xml:space="preserve"> = d</t>
    </r>
    <r>
      <rPr>
        <b/>
        <vertAlign val="subscript"/>
        <sz val="12"/>
        <color theme="1"/>
        <rFont val="Arial"/>
        <family val="2"/>
      </rPr>
      <t>pond</t>
    </r>
    <r>
      <rPr>
        <b/>
        <sz val="12"/>
        <color theme="1"/>
        <rFont val="Arial"/>
        <family val="2"/>
      </rPr>
      <t xml:space="preserve"> + d</t>
    </r>
    <r>
      <rPr>
        <b/>
        <vertAlign val="subscript"/>
        <sz val="12"/>
        <color theme="1"/>
        <rFont val="Arial"/>
        <family val="2"/>
      </rPr>
      <t>gravel</t>
    </r>
    <r>
      <rPr>
        <b/>
        <sz val="12"/>
        <color theme="1"/>
        <rFont val="Arial"/>
        <family val="2"/>
      </rPr>
      <t>/ŋ</t>
    </r>
    <r>
      <rPr>
        <b/>
        <vertAlign val="subscript"/>
        <sz val="12"/>
        <color theme="1"/>
        <rFont val="Arial"/>
        <family val="2"/>
      </rPr>
      <t>r</t>
    </r>
  </si>
  <si>
    <r>
      <t>d</t>
    </r>
    <r>
      <rPr>
        <b/>
        <vertAlign val="subscript"/>
        <sz val="12"/>
        <color theme="1"/>
        <rFont val="Arial"/>
        <family val="2"/>
      </rPr>
      <t>water</t>
    </r>
  </si>
  <si>
    <t>Min. Channel Width (W)</t>
  </si>
  <si>
    <r>
      <t>Sv = (SA</t>
    </r>
    <r>
      <rPr>
        <sz val="12"/>
        <color theme="1"/>
        <rFont val="Arial"/>
        <family val="2"/>
      </rPr>
      <t xml:space="preserve"> x d</t>
    </r>
    <r>
      <rPr>
        <vertAlign val="subscript"/>
        <sz val="12"/>
        <color theme="1"/>
        <rFont val="Arial"/>
        <family val="2"/>
      </rPr>
      <t>media</t>
    </r>
    <r>
      <rPr>
        <sz val="12"/>
        <color theme="1"/>
        <rFont val="Arial"/>
        <family val="2"/>
      </rPr>
      <t xml:space="preserve"> x ŋ</t>
    </r>
    <r>
      <rPr>
        <vertAlign val="subscript"/>
        <sz val="12"/>
        <color theme="1"/>
        <rFont val="Arial"/>
        <family val="2"/>
      </rPr>
      <t>media</t>
    </r>
    <r>
      <rPr>
        <sz val="12"/>
        <color theme="1"/>
        <rFont val="Arial"/>
        <family val="2"/>
      </rPr>
      <t>) + (SA</t>
    </r>
    <r>
      <rPr>
        <vertAlign val="subscript"/>
        <sz val="12"/>
        <color theme="1"/>
        <rFont val="Arial"/>
        <family val="2"/>
      </rPr>
      <t xml:space="preserve">average </t>
    </r>
    <r>
      <rPr>
        <sz val="12"/>
        <color theme="1"/>
        <rFont val="Arial"/>
        <family val="2"/>
      </rPr>
      <t>x d</t>
    </r>
    <r>
      <rPr>
        <vertAlign val="subscript"/>
        <sz val="12"/>
        <color theme="1"/>
        <rFont val="Arial"/>
        <family val="2"/>
      </rPr>
      <t>pools</t>
    </r>
    <r>
      <rPr>
        <sz val="12"/>
        <color theme="1"/>
        <rFont val="Arial"/>
        <family val="2"/>
      </rPr>
      <t xml:space="preserve"> x Number of Pools)</t>
    </r>
  </si>
  <si>
    <t>Top of Ponding Area</t>
  </si>
  <si>
    <r>
      <t>SA</t>
    </r>
    <r>
      <rPr>
        <vertAlign val="subscript"/>
        <sz val="12"/>
        <color theme="1"/>
        <rFont val="Arial"/>
        <family val="2"/>
      </rPr>
      <t>average</t>
    </r>
    <r>
      <rPr>
        <sz val="12"/>
        <color theme="1"/>
        <rFont val="Arial"/>
        <family val="2"/>
      </rPr>
      <t xml:space="preserve"> = 0.5 × (Top of Ponding Area + Bottom of Ponding Area)</t>
    </r>
  </si>
  <si>
    <r>
      <t>Sv = SA</t>
    </r>
    <r>
      <rPr>
        <sz val="12"/>
        <color theme="1"/>
        <rFont val="Arial"/>
        <family val="2"/>
      </rPr>
      <t xml:space="preserve"> x [(d</t>
    </r>
    <r>
      <rPr>
        <vertAlign val="subscript"/>
        <sz val="12"/>
        <color theme="1"/>
        <rFont val="Arial"/>
        <family val="2"/>
      </rPr>
      <t>media</t>
    </r>
    <r>
      <rPr>
        <sz val="12"/>
        <color theme="1"/>
        <rFont val="Arial"/>
        <family val="2"/>
      </rPr>
      <t xml:space="preserve"> x ŋ</t>
    </r>
    <r>
      <rPr>
        <vertAlign val="subscript"/>
        <sz val="12"/>
        <color theme="1"/>
        <rFont val="Arial"/>
        <family val="2"/>
      </rPr>
      <t>media</t>
    </r>
    <r>
      <rPr>
        <sz val="12"/>
        <color theme="1"/>
        <rFont val="Arial"/>
        <family val="2"/>
      </rPr>
      <t>) + (d</t>
    </r>
    <r>
      <rPr>
        <vertAlign val="subscript"/>
        <sz val="12"/>
        <color theme="1"/>
        <rFont val="Arial"/>
        <family val="2"/>
      </rPr>
      <t>gravel</t>
    </r>
    <r>
      <rPr>
        <sz val="12"/>
        <color theme="1"/>
        <rFont val="Arial"/>
        <family val="2"/>
      </rPr>
      <t xml:space="preserve"> x ŋ</t>
    </r>
    <r>
      <rPr>
        <vertAlign val="subscript"/>
        <sz val="12"/>
        <color theme="1"/>
        <rFont val="Arial"/>
        <family val="2"/>
      </rPr>
      <t>gravel</t>
    </r>
    <r>
      <rPr>
        <sz val="12"/>
        <color theme="1"/>
        <rFont val="Arial"/>
        <family val="2"/>
      </rPr>
      <t>)] + (SA</t>
    </r>
    <r>
      <rPr>
        <vertAlign val="subscript"/>
        <sz val="12"/>
        <color theme="1"/>
        <rFont val="Arial"/>
        <family val="2"/>
      </rPr>
      <t xml:space="preserve">average </t>
    </r>
    <r>
      <rPr>
        <sz val="12"/>
        <color theme="1"/>
        <rFont val="Arial"/>
        <family val="2"/>
      </rPr>
      <t>x d</t>
    </r>
    <r>
      <rPr>
        <vertAlign val="subscript"/>
        <sz val="12"/>
        <color theme="1"/>
        <rFont val="Arial"/>
        <family val="2"/>
      </rPr>
      <t xml:space="preserve">ponding </t>
    </r>
    <r>
      <rPr>
        <sz val="12"/>
        <color theme="1"/>
        <rFont val="Arial"/>
        <family val="2"/>
      </rPr>
      <t>)</t>
    </r>
  </si>
  <si>
    <t>Top of Filter Media Surface Area (SA)</t>
  </si>
  <si>
    <r>
      <t>Average Ponding Surface Area (SA</t>
    </r>
    <r>
      <rPr>
        <vertAlign val="subscript"/>
        <sz val="12"/>
        <color theme="1"/>
        <rFont val="Arial"/>
        <family val="2"/>
      </rPr>
      <t>average</t>
    </r>
    <r>
      <rPr>
        <sz val="12"/>
        <color theme="1"/>
        <rFont val="Arial"/>
        <family val="2"/>
      </rPr>
      <t>)</t>
    </r>
  </si>
  <si>
    <r>
      <t>Media Porosity Max. Water Retention (ŋ</t>
    </r>
    <r>
      <rPr>
        <vertAlign val="sub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>)</t>
    </r>
  </si>
  <si>
    <r>
      <t>Drainage Layer Porosity Max. Water Retention ( ŋ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)</t>
    </r>
  </si>
  <si>
    <t>Is Site Located Within 1,000 ft of a Shellfish Bed?</t>
  </si>
  <si>
    <t>P (in)</t>
  </si>
  <si>
    <t>(value to input into column E of BMPs sheet*)</t>
  </si>
  <si>
    <t xml:space="preserve">*Note: If disconnection area is A/B soils, input into row 13 of the BMPs sheet. </t>
  </si>
  <si>
    <t>If disconnection area is C/D soils, input into row 14 of the BMPs sheet.</t>
  </si>
  <si>
    <t>*Note: Input into row 15 of the BMPs sheet.</t>
  </si>
  <si>
    <t>*Note: Input into row 13 of the BMPs 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</si>
</sst>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00"/>
    <numFmt numFmtId="166" formatCode="0.000"/>
    <numFmt numFmtId="167" formatCode="0.0000"/>
  </numFmts>
  <fonts count="2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vertAlign val="superscript"/>
      <sz val="12"/>
      <color theme="1"/>
      <name val="Arial"/>
      <family val="2"/>
    </font>
    <font>
      <vertAlign val="subscript"/>
      <sz val="12"/>
      <color theme="1"/>
      <name val="Arial"/>
      <family val="2"/>
    </font>
    <font>
      <sz val="12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b/>
      <vertAlign val="superscript"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vertAlign val="subscript"/>
      <sz val="12"/>
      <color theme="1"/>
      <name val="Arial"/>
      <family val="2"/>
    </font>
    <font>
      <b/>
      <sz val="11"/>
      <color theme="1"/>
      <name val="Arial"/>
      <family val="2"/>
    </font>
    <font>
      <b/>
      <vertAlign val="subscript"/>
      <sz val="12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2" fillId="0" borderId="0" xfId="0" applyFont="1"/>
    <xf numFmtId="0" fontId="0" fillId="0" borderId="0" xfId="0" applyFill="1" applyAlignment="1">
      <alignment horizontal="center"/>
    </xf>
    <xf numFmtId="0" fontId="5" fillId="0" borderId="0" xfId="0" applyFont="1" applyBorder="1"/>
    <xf numFmtId="0" fontId="3" fillId="0" borderId="0" xfId="0" applyFont="1" applyAlignment="1"/>
    <xf numFmtId="0" fontId="5" fillId="0" borderId="0" xfId="0" applyFont="1" applyFill="1" applyBorder="1"/>
    <xf numFmtId="0" fontId="8" fillId="0" borderId="0" xfId="0" applyFont="1"/>
    <xf numFmtId="0" fontId="8" fillId="0" borderId="0" xfId="0" applyFont="1" applyBorder="1"/>
    <xf numFmtId="0" fontId="7" fillId="0" borderId="0" xfId="0" applyFont="1"/>
    <xf numFmtId="0" fontId="8" fillId="0" borderId="0" xfId="0" applyFont="1" applyAlignment="1"/>
    <xf numFmtId="0" fontId="13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3" fontId="8" fillId="3" borderId="1" xfId="0" applyNumberFormat="1" applyFont="1" applyFill="1" applyBorder="1" applyAlignment="1">
      <alignment horizontal="center"/>
    </xf>
    <xf numFmtId="1" fontId="8" fillId="0" borderId="0" xfId="0" applyNumberFormat="1" applyFont="1" applyProtection="1"/>
    <xf numFmtId="0" fontId="8" fillId="0" borderId="0" xfId="0" applyFont="1" applyProtection="1"/>
    <xf numFmtId="0" fontId="14" fillId="0" borderId="0" xfId="0" applyFont="1" applyProtection="1"/>
    <xf numFmtId="0" fontId="15" fillId="0" borderId="0" xfId="0" applyFont="1" applyProtection="1"/>
    <xf numFmtId="0" fontId="6" fillId="0" borderId="0" xfId="0" applyFont="1" applyProtection="1"/>
    <xf numFmtId="0" fontId="8" fillId="0" borderId="0" xfId="0" applyFont="1" applyFill="1" applyProtection="1"/>
    <xf numFmtId="0" fontId="6" fillId="0" borderId="0" xfId="0" applyFont="1" applyAlignment="1" applyProtection="1">
      <alignment horizontal="center"/>
    </xf>
    <xf numFmtId="1" fontId="6" fillId="0" borderId="0" xfId="0" applyNumberFormat="1" applyFont="1" applyAlignment="1" applyProtection="1">
      <alignment horizontal="center"/>
    </xf>
    <xf numFmtId="0" fontId="6" fillId="0" borderId="0" xfId="0" applyFont="1" applyFill="1" applyProtection="1"/>
    <xf numFmtId="0" fontId="7" fillId="0" borderId="0" xfId="0" applyFont="1" applyAlignment="1"/>
    <xf numFmtId="0" fontId="17" fillId="0" borderId="0" xfId="0" applyFont="1"/>
    <xf numFmtId="0" fontId="13" fillId="0" borderId="0" xfId="0" applyFont="1" applyAlignment="1">
      <alignment vertical="center"/>
    </xf>
    <xf numFmtId="0" fontId="16" fillId="0" borderId="0" xfId="0" applyFont="1" applyAlignment="1" applyProtection="1">
      <alignment horizontal="right"/>
    </xf>
    <xf numFmtId="1" fontId="6" fillId="0" borderId="0" xfId="0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" fontId="9" fillId="4" borderId="1" xfId="0" applyNumberFormat="1" applyFont="1" applyFill="1" applyBorder="1" applyAlignment="1" applyProtection="1">
      <alignment horizontal="center" vertical="center"/>
      <protection locked="0"/>
    </xf>
    <xf numFmtId="2" fontId="9" fillId="4" borderId="1" xfId="0" applyNumberFormat="1" applyFont="1" applyFill="1" applyBorder="1" applyAlignment="1" applyProtection="1">
      <alignment horizontal="center" vertical="center"/>
      <protection locked="0"/>
    </xf>
    <xf numFmtId="9" fontId="9" fillId="6" borderId="1" xfId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1" fontId="6" fillId="0" borderId="0" xfId="0" applyNumberFormat="1" applyFont="1" applyFill="1" applyBorder="1" applyAlignment="1" applyProtection="1">
      <alignment horizontal="center" vertical="center"/>
    </xf>
    <xf numFmtId="164" fontId="6" fillId="0" borderId="0" xfId="0" applyNumberFormat="1" applyFont="1" applyFill="1" applyBorder="1" applyAlignment="1" applyProtection="1">
      <alignment horizontal="center" vertical="center"/>
    </xf>
    <xf numFmtId="2" fontId="9" fillId="4" borderId="7" xfId="0" applyNumberFormat="1" applyFont="1" applyFill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left" vertical="center"/>
    </xf>
    <xf numFmtId="0" fontId="9" fillId="0" borderId="9" xfId="0" applyFont="1" applyBorder="1" applyAlignment="1" applyProtection="1">
      <alignment horizontal="left" vertical="center"/>
    </xf>
    <xf numFmtId="0" fontId="9" fillId="0" borderId="9" xfId="0" applyFont="1" applyFill="1" applyBorder="1" applyAlignment="1" applyProtection="1">
      <alignment horizontal="left" vertical="center"/>
    </xf>
    <xf numFmtId="0" fontId="8" fillId="5" borderId="7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16" fillId="0" borderId="10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0" fontId="19" fillId="0" borderId="0" xfId="0" applyFont="1" applyAlignment="1"/>
    <xf numFmtId="0" fontId="16" fillId="0" borderId="16" xfId="0" applyFont="1" applyBorder="1" applyAlignment="1" applyProtection="1"/>
    <xf numFmtId="0" fontId="7" fillId="0" borderId="1" xfId="0" applyFont="1" applyBorder="1" applyAlignment="1">
      <alignment horizontal="center"/>
    </xf>
    <xf numFmtId="4" fontId="7" fillId="6" borderId="13" xfId="0" applyNumberFormat="1" applyFont="1" applyFill="1" applyBorder="1" applyAlignment="1" applyProtection="1">
      <alignment horizontal="center" vertical="center"/>
    </xf>
    <xf numFmtId="4" fontId="7" fillId="6" borderId="14" xfId="0" applyNumberFormat="1" applyFont="1" applyFill="1" applyBorder="1" applyAlignment="1" applyProtection="1">
      <alignment horizontal="center" vertical="center"/>
    </xf>
    <xf numFmtId="9" fontId="16" fillId="6" borderId="13" xfId="1" applyFont="1" applyFill="1" applyBorder="1" applyAlignment="1" applyProtection="1">
      <alignment horizontal="center" vertical="center"/>
    </xf>
    <xf numFmtId="2" fontId="7" fillId="5" borderId="14" xfId="0" applyNumberFormat="1" applyFont="1" applyFill="1" applyBorder="1" applyAlignment="1" applyProtection="1">
      <alignment horizontal="center" vertical="center"/>
    </xf>
    <xf numFmtId="3" fontId="7" fillId="3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0" fillId="0" borderId="0" xfId="0" applyFont="1"/>
    <xf numFmtId="0" fontId="20" fillId="0" borderId="0" xfId="0" applyFont="1" applyBorder="1" applyAlignment="1">
      <alignment horizontal="center" vertical="center" wrapText="1"/>
    </xf>
    <xf numFmtId="0" fontId="7" fillId="0" borderId="0" xfId="0" applyFont="1" applyBorder="1" applyAlignment="1"/>
    <xf numFmtId="0" fontId="8" fillId="0" borderId="0" xfId="0" applyFont="1" applyBorder="1" applyAlignment="1"/>
    <xf numFmtId="0" fontId="8" fillId="0" borderId="1" xfId="0" applyFont="1" applyBorder="1" applyAlignment="1">
      <alignment vertical="center"/>
    </xf>
    <xf numFmtId="4" fontId="8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horizontal="right"/>
    </xf>
    <xf numFmtId="0" fontId="7" fillId="0" borderId="1" xfId="0" applyFont="1" applyBorder="1" applyAlignment="1">
      <alignment horizontal="right"/>
    </xf>
    <xf numFmtId="0" fontId="8" fillId="3" borderId="1" xfId="0" applyFont="1" applyFill="1" applyBorder="1" applyAlignment="1">
      <alignment horizontal="center"/>
    </xf>
    <xf numFmtId="0" fontId="6" fillId="0" borderId="0" xfId="0" applyFont="1"/>
    <xf numFmtId="0" fontId="22" fillId="0" borderId="0" xfId="0" applyFont="1"/>
    <xf numFmtId="0" fontId="22" fillId="0" borderId="0" xfId="0" applyFont="1" applyAlignment="1">
      <alignment wrapText="1"/>
    </xf>
    <xf numFmtId="4" fontId="8" fillId="3" borderId="1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13" fillId="0" borderId="0" xfId="0" applyFont="1" applyFill="1"/>
    <xf numFmtId="0" fontId="16" fillId="0" borderId="0" xfId="0" applyFont="1" applyAlignment="1" applyProtection="1">
      <alignment horizontal="right" wrapText="1"/>
    </xf>
    <xf numFmtId="2" fontId="9" fillId="3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3" fontId="8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horizontal="left"/>
    </xf>
    <xf numFmtId="2" fontId="8" fillId="3" borderId="1" xfId="0" applyNumberFormat="1" applyFont="1" applyFill="1" applyBorder="1" applyAlignment="1">
      <alignment horizontal="center"/>
    </xf>
    <xf numFmtId="4" fontId="8" fillId="2" borderId="2" xfId="0" applyNumberFormat="1" applyFont="1" applyFill="1" applyBorder="1" applyAlignment="1" applyProtection="1">
      <alignment horizontal="center" vertical="center"/>
      <protection locked="0"/>
    </xf>
    <xf numFmtId="4" fontId="7" fillId="6" borderId="15" xfId="0" applyNumberFormat="1" applyFont="1" applyFill="1" applyBorder="1" applyAlignment="1" applyProtection="1">
      <alignment horizontal="center" vertical="center"/>
    </xf>
    <xf numFmtId="4" fontId="8" fillId="5" borderId="6" xfId="0" applyNumberFormat="1" applyFont="1" applyFill="1" applyBorder="1" applyAlignment="1" applyProtection="1">
      <alignment horizontal="center" vertical="center"/>
    </xf>
    <xf numFmtId="4" fontId="7" fillId="5" borderId="12" xfId="0" applyNumberFormat="1" applyFont="1" applyFill="1" applyBorder="1" applyAlignment="1" applyProtection="1">
      <alignment horizontal="center" vertical="center"/>
    </xf>
    <xf numFmtId="4" fontId="8" fillId="2" borderId="6" xfId="0" applyNumberFormat="1" applyFont="1" applyFill="1" applyBorder="1" applyAlignment="1" applyProtection="1">
      <alignment horizontal="center" vertical="center"/>
      <protection locked="0"/>
    </xf>
    <xf numFmtId="4" fontId="8" fillId="2" borderId="18" xfId="0" applyNumberFormat="1" applyFont="1" applyFill="1" applyBorder="1" applyAlignment="1" applyProtection="1">
      <alignment horizontal="center" vertical="center"/>
      <protection locked="0"/>
    </xf>
    <xf numFmtId="4" fontId="7" fillId="6" borderId="12" xfId="0" applyNumberFormat="1" applyFont="1" applyFill="1" applyBorder="1" applyAlignment="1" applyProtection="1">
      <alignment horizontal="center" vertical="center"/>
    </xf>
    <xf numFmtId="4" fontId="7" fillId="0" borderId="0" xfId="0" applyNumberFormat="1" applyFont="1" applyBorder="1" applyAlignment="1"/>
    <xf numFmtId="4" fontId="8" fillId="2" borderId="1" xfId="0" applyNumberFormat="1" applyFont="1" applyFill="1" applyBorder="1" applyAlignment="1" applyProtection="1">
      <alignment horizontal="center" vertical="center"/>
      <protection locked="0"/>
    </xf>
    <xf numFmtId="165" fontId="8" fillId="4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2" fontId="8" fillId="2" borderId="1" xfId="0" applyNumberFormat="1" applyFont="1" applyFill="1" applyBorder="1" applyAlignment="1" applyProtection="1">
      <alignment horizontal="center" vertical="center"/>
      <protection locked="0"/>
    </xf>
    <xf numFmtId="2" fontId="8" fillId="4" borderId="1" xfId="0" applyNumberFormat="1" applyFont="1" applyFill="1" applyBorder="1" applyAlignment="1" applyProtection="1">
      <alignment horizontal="center" vertical="center"/>
      <protection locked="0"/>
    </xf>
    <xf numFmtId="4" fontId="8" fillId="4" borderId="1" xfId="0" applyNumberFormat="1" applyFont="1" applyFill="1" applyBorder="1" applyAlignment="1" applyProtection="1">
      <alignment horizontal="center" vertical="center"/>
      <protection locked="0"/>
    </xf>
    <xf numFmtId="164" fontId="9" fillId="4" borderId="1" xfId="0" applyNumberFormat="1" applyFont="1" applyFill="1" applyBorder="1" applyAlignment="1" applyProtection="1">
      <alignment horizontal="center" vertical="center"/>
      <protection locked="0"/>
    </xf>
    <xf numFmtId="167" fontId="9" fillId="4" borderId="1" xfId="0" applyNumberFormat="1" applyFont="1" applyFill="1" applyBorder="1" applyAlignment="1" applyProtection="1">
      <alignment horizontal="center" vertical="center"/>
      <protection locked="0"/>
    </xf>
    <xf numFmtId="2" fontId="9" fillId="2" borderId="1" xfId="0" applyNumberFormat="1" applyFont="1" applyFill="1" applyBorder="1" applyAlignment="1" applyProtection="1">
      <alignment horizontal="center" vertical="center"/>
      <protection locked="0"/>
    </xf>
    <xf numFmtId="165" fontId="8" fillId="2" borderId="1" xfId="0" applyNumberFormat="1" applyFont="1" applyFill="1" applyBorder="1" applyAlignment="1" applyProtection="1">
      <alignment horizontal="center" vertical="center"/>
      <protection locked="0"/>
    </xf>
    <xf numFmtId="3" fontId="8" fillId="2" borderId="1" xfId="0" applyNumberFormat="1" applyFont="1" applyFill="1" applyBorder="1" applyAlignment="1" applyProtection="1">
      <alignment horizontal="center" vertical="center"/>
      <protection locked="0"/>
    </xf>
    <xf numFmtId="166" fontId="9" fillId="4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/>
    <xf numFmtId="0" fontId="6" fillId="0" borderId="0" xfId="0" applyFont="1" applyAlignment="1" applyProtection="1">
      <alignment horizontal="right"/>
    </xf>
    <xf numFmtId="2" fontId="6" fillId="0" borderId="0" xfId="0" applyNumberFormat="1" applyFont="1" applyAlignment="1" applyProtection="1">
      <alignment horizontal="center"/>
    </xf>
    <xf numFmtId="0" fontId="22" fillId="2" borderId="1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left" vertical="center"/>
    </xf>
    <xf numFmtId="0" fontId="0" fillId="0" borderId="0" xfId="0" applyFill="1" applyAlignment="1"/>
    <xf numFmtId="0" fontId="8" fillId="0" borderId="2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24" fillId="0" borderId="17" xfId="0" applyFont="1" applyFill="1" applyBorder="1" applyAlignment="1" applyProtection="1">
      <alignment horizontal="center"/>
    </xf>
    <xf numFmtId="0" fontId="24" fillId="0" borderId="2" xfId="0" applyFont="1" applyFill="1" applyBorder="1" applyAlignment="1" applyProtection="1">
      <alignment horizontal="center"/>
    </xf>
    <xf numFmtId="0" fontId="16" fillId="0" borderId="3" xfId="0" applyFont="1" applyBorder="1" applyAlignment="1" applyProtection="1">
      <alignment horizontal="center"/>
    </xf>
    <xf numFmtId="0" fontId="16" fillId="0" borderId="19" xfId="0" applyFont="1" applyBorder="1" applyAlignment="1" applyProtection="1">
      <alignment horizontal="center"/>
    </xf>
    <xf numFmtId="0" fontId="16" fillId="0" borderId="20" xfId="0" applyFont="1" applyBorder="1" applyAlignment="1" applyProtection="1">
      <alignment horizontal="center"/>
    </xf>
    <xf numFmtId="0" fontId="8" fillId="0" borderId="1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FFFF"/>
      <color rgb="FFFFFF99"/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/>
  </sheetViews>
  <sheetFormatPr defaultColWidth="9.109375" defaultRowHeight="15" x14ac:dyDescent="0.25"/>
  <cols>
    <col min="1" max="1" width="31.5546875" style="10" customWidth="1"/>
    <col min="2" max="2" width="17" style="10" customWidth="1"/>
    <col min="3" max="3" width="10.88671875" style="10" bestFit="1" customWidth="1"/>
    <col min="4" max="4" width="7.77734375" style="10" customWidth="1"/>
    <col min="5" max="5" width="13.109375" style="10" bestFit="1" customWidth="1"/>
    <col min="6" max="7" width="7.77734375" style="10" customWidth="1"/>
    <col min="8" max="8" width="13.109375" style="10" bestFit="1" customWidth="1"/>
    <col min="9" max="10" width="7.77734375" style="10" customWidth="1"/>
    <col min="11" max="11" width="13.109375" style="10" bestFit="1" customWidth="1"/>
    <col min="12" max="13" width="7.77734375" style="10" customWidth="1"/>
    <col min="14" max="14" width="14.33203125" style="10" customWidth="1"/>
    <col min="15" max="15" width="14" style="10" bestFit="1" customWidth="1"/>
    <col min="16" max="16384" width="9.109375" style="10"/>
  </cols>
  <sheetData>
    <row r="1" spans="1:17" ht="17.399999999999999" x14ac:dyDescent="0.3">
      <c r="A1" s="56" t="s">
        <v>34</v>
      </c>
      <c r="B1" s="31"/>
    </row>
    <row r="2" spans="1:17" ht="17.399999999999999" x14ac:dyDescent="0.3">
      <c r="A2" s="56"/>
      <c r="B2" s="31"/>
    </row>
    <row r="3" spans="1:17" ht="15.6" x14ac:dyDescent="0.3">
      <c r="A3" s="12" t="s">
        <v>17</v>
      </c>
      <c r="E3" s="16"/>
    </row>
    <row r="4" spans="1:17" ht="6.6" customHeight="1" x14ac:dyDescent="0.3">
      <c r="A4" s="12"/>
      <c r="E4" s="16"/>
    </row>
    <row r="5" spans="1:17" ht="18.600000000000001" x14ac:dyDescent="0.4">
      <c r="A5" s="13" t="s">
        <v>133</v>
      </c>
      <c r="C5" s="13"/>
      <c r="D5" s="13"/>
      <c r="E5" s="16"/>
      <c r="K5" s="14"/>
      <c r="L5" s="15"/>
      <c r="M5" s="15"/>
      <c r="N5" s="15"/>
      <c r="O5" s="16"/>
      <c r="P5" s="16"/>
      <c r="Q5" s="16"/>
    </row>
    <row r="6" spans="1:17" ht="7.8" customHeight="1" x14ac:dyDescent="0.25">
      <c r="A6" s="13"/>
      <c r="C6" s="13"/>
      <c r="D6" s="13"/>
      <c r="E6" s="16"/>
      <c r="K6" s="14"/>
      <c r="L6" s="15"/>
      <c r="M6" s="15"/>
      <c r="N6" s="15"/>
      <c r="O6" s="16"/>
      <c r="P6" s="16"/>
      <c r="Q6" s="16"/>
    </row>
    <row r="7" spans="1:17" ht="18.600000000000001" x14ac:dyDescent="0.4">
      <c r="A7" s="13" t="s">
        <v>132</v>
      </c>
      <c r="C7" s="13"/>
      <c r="D7" s="13"/>
      <c r="E7" s="16"/>
      <c r="K7" s="14"/>
      <c r="L7" s="15"/>
      <c r="M7" s="15"/>
      <c r="N7" s="15"/>
      <c r="O7" s="16"/>
      <c r="P7" s="16"/>
      <c r="Q7" s="16"/>
    </row>
    <row r="8" spans="1:17" ht="7.8" customHeight="1" x14ac:dyDescent="0.25">
      <c r="A8" s="13"/>
      <c r="C8" s="13"/>
      <c r="D8" s="13"/>
      <c r="E8" s="16"/>
      <c r="K8" s="14"/>
      <c r="L8" s="15"/>
      <c r="M8" s="15"/>
      <c r="N8" s="15"/>
      <c r="O8" s="16"/>
      <c r="P8" s="16"/>
      <c r="Q8" s="16"/>
    </row>
    <row r="9" spans="1:17" ht="18.600000000000001" customHeight="1" x14ac:dyDescent="0.3">
      <c r="A9" s="114" t="s">
        <v>131</v>
      </c>
      <c r="B9" s="114"/>
      <c r="C9" s="97"/>
      <c r="D9" s="19" t="s">
        <v>18</v>
      </c>
      <c r="F9" s="32"/>
    </row>
    <row r="10" spans="1:17" ht="17.399999999999999" x14ac:dyDescent="0.3">
      <c r="A10" s="114" t="s">
        <v>134</v>
      </c>
      <c r="B10" s="114"/>
      <c r="C10" s="97"/>
      <c r="D10" s="19" t="s">
        <v>18</v>
      </c>
      <c r="F10" s="32"/>
    </row>
    <row r="11" spans="1:17" ht="18.600000000000001" x14ac:dyDescent="0.25">
      <c r="A11" s="114" t="s">
        <v>20</v>
      </c>
      <c r="B11" s="114"/>
      <c r="C11" s="97"/>
      <c r="D11" s="64" t="s">
        <v>3</v>
      </c>
    </row>
    <row r="12" spans="1:17" ht="18.600000000000001" x14ac:dyDescent="0.25">
      <c r="A12" s="114" t="s">
        <v>21</v>
      </c>
      <c r="B12" s="114"/>
      <c r="C12" s="38">
        <v>0.25</v>
      </c>
      <c r="D12" s="64"/>
    </row>
    <row r="13" spans="1:17" ht="18.600000000000001" x14ac:dyDescent="0.25">
      <c r="A13" s="114" t="s">
        <v>22</v>
      </c>
      <c r="B13" s="114"/>
      <c r="C13" s="97"/>
      <c r="D13" s="64" t="s">
        <v>3</v>
      </c>
    </row>
    <row r="14" spans="1:17" ht="18.600000000000001" x14ac:dyDescent="0.25">
      <c r="A14" s="114" t="s">
        <v>23</v>
      </c>
      <c r="B14" s="114"/>
      <c r="C14" s="38">
        <v>0.4</v>
      </c>
      <c r="D14" s="17"/>
      <c r="E14" s="18"/>
      <c r="F14" s="18"/>
      <c r="G14" s="18"/>
    </row>
    <row r="15" spans="1:17" ht="18.600000000000001" x14ac:dyDescent="0.25">
      <c r="A15" s="114" t="s">
        <v>135</v>
      </c>
      <c r="B15" s="114"/>
      <c r="C15" s="70">
        <f>(C9+C10)/2</f>
        <v>0</v>
      </c>
      <c r="D15" s="19" t="s">
        <v>18</v>
      </c>
      <c r="E15" s="33"/>
      <c r="F15" s="33"/>
      <c r="G15" s="33"/>
      <c r="H15" s="33"/>
      <c r="I15" s="18"/>
    </row>
    <row r="16" spans="1:17" ht="18.600000000000001" x14ac:dyDescent="0.25">
      <c r="A16" s="114" t="s">
        <v>24</v>
      </c>
      <c r="B16" s="114"/>
      <c r="C16" s="97"/>
      <c r="D16" s="64" t="s">
        <v>3</v>
      </c>
    </row>
    <row r="17" spans="1:19" x14ac:dyDescent="0.25">
      <c r="A17" s="16"/>
      <c r="B17" s="16"/>
      <c r="C17" s="16"/>
      <c r="D17" s="16"/>
      <c r="E17" s="16"/>
    </row>
    <row r="18" spans="1:19" s="26" customFormat="1" ht="18" x14ac:dyDescent="0.3">
      <c r="A18" s="34" t="s">
        <v>33</v>
      </c>
      <c r="B18" s="21">
        <f>C10*((C11*C12)+(C13*C14))+(C15*C16)</f>
        <v>0</v>
      </c>
      <c r="C18" s="20" t="s">
        <v>19</v>
      </c>
      <c r="P18" s="25"/>
      <c r="Q18" s="28"/>
      <c r="R18" s="29"/>
      <c r="S18" s="30"/>
    </row>
    <row r="19" spans="1:19" ht="39.6" x14ac:dyDescent="0.25">
      <c r="B19" s="66" t="s">
        <v>36</v>
      </c>
    </row>
    <row r="20" spans="1:19" x14ac:dyDescent="0.25">
      <c r="A20" s="65"/>
    </row>
  </sheetData>
  <sheetProtection password="DFF6" sheet="1" objects="1" scenarios="1"/>
  <mergeCells count="8">
    <mergeCell ref="A9:B9"/>
    <mergeCell ref="A13:B13"/>
    <mergeCell ref="A16:B16"/>
    <mergeCell ref="A14:B14"/>
    <mergeCell ref="A15:B15"/>
    <mergeCell ref="A10:B10"/>
    <mergeCell ref="A11:B11"/>
    <mergeCell ref="A12:B1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workbookViewId="0"/>
  </sheetViews>
  <sheetFormatPr defaultRowHeight="14.4" x14ac:dyDescent="0.3"/>
  <cols>
    <col min="1" max="1" width="34" customWidth="1"/>
    <col min="2" max="2" width="14" customWidth="1"/>
    <col min="3" max="3" width="10.88671875" bestFit="1" customWidth="1"/>
    <col min="4" max="4" width="7.77734375" customWidth="1"/>
    <col min="5" max="5" width="13.109375" customWidth="1"/>
    <col min="6" max="7" width="7.77734375" customWidth="1"/>
    <col min="8" max="8" width="13.109375" customWidth="1"/>
    <col min="9" max="10" width="7.77734375" customWidth="1"/>
    <col min="11" max="11" width="13.109375" customWidth="1"/>
    <col min="12" max="13" width="7.77734375" customWidth="1"/>
    <col min="14" max="14" width="13.21875" customWidth="1"/>
    <col min="15" max="15" width="9.77734375" customWidth="1"/>
  </cols>
  <sheetData>
    <row r="1" spans="1:17" s="10" customFormat="1" ht="17.399999999999999" x14ac:dyDescent="0.3">
      <c r="A1" s="56" t="s">
        <v>123</v>
      </c>
      <c r="B1" s="31"/>
    </row>
    <row r="3" spans="1:17" s="10" customFormat="1" ht="15.6" x14ac:dyDescent="0.3">
      <c r="A3" s="12" t="s">
        <v>17</v>
      </c>
      <c r="E3" s="16"/>
    </row>
    <row r="4" spans="1:17" s="10" customFormat="1" ht="6.6" customHeight="1" x14ac:dyDescent="0.3">
      <c r="A4" s="12"/>
      <c r="E4" s="16"/>
    </row>
    <row r="5" spans="1:17" s="10" customFormat="1" ht="18.600000000000001" x14ac:dyDescent="0.4">
      <c r="A5" s="13" t="s">
        <v>130</v>
      </c>
      <c r="C5" s="13"/>
      <c r="D5" s="13"/>
      <c r="E5" s="16"/>
      <c r="K5" s="14"/>
      <c r="L5" s="15"/>
      <c r="M5" s="15"/>
      <c r="N5" s="15"/>
      <c r="O5" s="16"/>
      <c r="P5" s="16"/>
      <c r="Q5" s="16"/>
    </row>
    <row r="6" spans="1:17" s="10" customFormat="1" ht="7.8" customHeight="1" x14ac:dyDescent="0.25">
      <c r="A6" s="13"/>
      <c r="C6" s="13"/>
      <c r="D6" s="13"/>
      <c r="E6" s="16"/>
      <c r="K6" s="14"/>
      <c r="L6" s="15"/>
      <c r="M6" s="15"/>
      <c r="N6" s="15"/>
      <c r="O6" s="16"/>
      <c r="P6" s="16"/>
      <c r="Q6" s="16"/>
    </row>
    <row r="7" spans="1:17" s="10" customFormat="1" ht="18.600000000000001" x14ac:dyDescent="0.4">
      <c r="A7" s="13" t="s">
        <v>126</v>
      </c>
      <c r="C7" s="13"/>
      <c r="D7" s="13"/>
      <c r="E7" s="16"/>
      <c r="K7" s="14"/>
      <c r="L7" s="15"/>
      <c r="M7" s="15"/>
      <c r="N7" s="15"/>
      <c r="O7" s="16"/>
      <c r="P7" s="16"/>
      <c r="Q7" s="16"/>
    </row>
    <row r="8" spans="1:17" s="10" customFormat="1" ht="7.8" customHeight="1" x14ac:dyDescent="0.25">
      <c r="A8" s="13"/>
      <c r="C8" s="13"/>
      <c r="D8" s="13"/>
      <c r="E8" s="16"/>
      <c r="K8" s="14"/>
      <c r="L8" s="15"/>
      <c r="M8" s="15"/>
      <c r="N8" s="15"/>
      <c r="O8" s="16"/>
      <c r="P8" s="16"/>
      <c r="Q8" s="16"/>
    </row>
    <row r="9" spans="1:17" s="10" customFormat="1" ht="18.600000000000001" customHeight="1" x14ac:dyDescent="0.3">
      <c r="A9" s="114" t="s">
        <v>131</v>
      </c>
      <c r="B9" s="114"/>
      <c r="C9" s="97"/>
      <c r="D9" s="19" t="s">
        <v>18</v>
      </c>
      <c r="F9" s="32"/>
    </row>
    <row r="10" spans="1:17" s="10" customFormat="1" ht="17.399999999999999" x14ac:dyDescent="0.3">
      <c r="A10" s="114" t="s">
        <v>134</v>
      </c>
      <c r="B10" s="114"/>
      <c r="C10" s="97"/>
      <c r="D10" s="19" t="s">
        <v>18</v>
      </c>
      <c r="F10" s="32"/>
    </row>
    <row r="11" spans="1:17" s="10" customFormat="1" ht="18.600000000000001" x14ac:dyDescent="0.25">
      <c r="A11" s="114" t="s">
        <v>20</v>
      </c>
      <c r="B11" s="114"/>
      <c r="C11" s="97"/>
      <c r="D11" s="64" t="s">
        <v>3</v>
      </c>
    </row>
    <row r="12" spans="1:17" s="10" customFormat="1" ht="18.600000000000001" x14ac:dyDescent="0.25">
      <c r="A12" s="114" t="s">
        <v>21</v>
      </c>
      <c r="B12" s="114"/>
      <c r="C12" s="38">
        <v>0.25</v>
      </c>
      <c r="D12" s="64"/>
    </row>
    <row r="13" spans="1:17" s="10" customFormat="1" ht="18.600000000000001" x14ac:dyDescent="0.25">
      <c r="A13" s="114" t="s">
        <v>125</v>
      </c>
      <c r="B13" s="114"/>
      <c r="C13" s="70">
        <f>(C9+C10)/2</f>
        <v>0</v>
      </c>
      <c r="D13" s="19" t="s">
        <v>18</v>
      </c>
      <c r="E13" s="33"/>
      <c r="F13" s="33"/>
      <c r="G13" s="33"/>
      <c r="H13" s="33"/>
      <c r="I13" s="18"/>
    </row>
    <row r="14" spans="1:17" s="10" customFormat="1" ht="18.600000000000001" x14ac:dyDescent="0.25">
      <c r="A14" s="114" t="s">
        <v>124</v>
      </c>
      <c r="B14" s="114"/>
      <c r="C14" s="97"/>
      <c r="D14" s="64" t="s">
        <v>3</v>
      </c>
    </row>
    <row r="15" spans="1:17" s="10" customFormat="1" ht="18.600000000000001" customHeight="1" x14ac:dyDescent="0.25">
      <c r="A15" s="114" t="s">
        <v>113</v>
      </c>
      <c r="B15" s="114"/>
      <c r="C15" s="107"/>
      <c r="D15" s="64"/>
    </row>
    <row r="16" spans="1:17" s="10" customFormat="1" ht="15" x14ac:dyDescent="0.25">
      <c r="A16" s="16"/>
      <c r="B16" s="16"/>
      <c r="C16" s="16"/>
      <c r="D16" s="16"/>
      <c r="E16" s="16"/>
    </row>
    <row r="17" spans="1:19" s="26" customFormat="1" ht="18" x14ac:dyDescent="0.3">
      <c r="A17" s="34" t="s">
        <v>33</v>
      </c>
      <c r="B17" s="21">
        <f>(C10*C11*C12)+(C13*C14*C15)</f>
        <v>0</v>
      </c>
      <c r="C17" s="20" t="s">
        <v>19</v>
      </c>
      <c r="P17" s="25"/>
      <c r="Q17" s="28"/>
      <c r="R17" s="29"/>
      <c r="S17" s="30"/>
    </row>
    <row r="18" spans="1:19" s="10" customFormat="1" ht="39.6" x14ac:dyDescent="0.25">
      <c r="B18" s="66" t="s">
        <v>36</v>
      </c>
    </row>
  </sheetData>
  <sheetProtection password="DFF6" sheet="1" objects="1" scenarios="1"/>
  <mergeCells count="7">
    <mergeCell ref="A10:B10"/>
    <mergeCell ref="A15:B15"/>
    <mergeCell ref="A13:B13"/>
    <mergeCell ref="A14:B14"/>
    <mergeCell ref="A9:B9"/>
    <mergeCell ref="A11:B11"/>
    <mergeCell ref="A12:B1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/>
  </sheetViews>
  <sheetFormatPr defaultRowHeight="14.4" x14ac:dyDescent="0.3"/>
  <cols>
    <col min="1" max="1" width="35.77734375" customWidth="1"/>
    <col min="2" max="2" width="14.44140625" customWidth="1"/>
    <col min="3" max="3" width="10.88671875" bestFit="1" customWidth="1"/>
    <col min="4" max="4" width="7.77734375" customWidth="1"/>
    <col min="5" max="5" width="13.109375" bestFit="1" customWidth="1"/>
    <col min="6" max="7" width="7.77734375" customWidth="1"/>
    <col min="8" max="8" width="13.109375" bestFit="1" customWidth="1"/>
    <col min="9" max="10" width="7.77734375" customWidth="1"/>
    <col min="11" max="11" width="13.109375" bestFit="1" customWidth="1"/>
    <col min="12" max="13" width="7.77734375" customWidth="1"/>
    <col min="14" max="14" width="13.21875" bestFit="1" customWidth="1"/>
    <col min="15" max="15" width="9.77734375" bestFit="1" customWidth="1"/>
  </cols>
  <sheetData>
    <row r="1" spans="1:19" s="10" customFormat="1" ht="17.399999999999999" x14ac:dyDescent="0.3">
      <c r="A1" s="56" t="s">
        <v>120</v>
      </c>
      <c r="B1" s="31"/>
    </row>
    <row r="3" spans="1:19" s="10" customFormat="1" ht="15.6" x14ac:dyDescent="0.3">
      <c r="A3" s="12" t="s">
        <v>17</v>
      </c>
      <c r="E3" s="16"/>
    </row>
    <row r="4" spans="1:19" s="10" customFormat="1" ht="6.6" customHeight="1" x14ac:dyDescent="0.3">
      <c r="A4" s="12"/>
      <c r="E4" s="16"/>
    </row>
    <row r="5" spans="1:19" s="10" customFormat="1" ht="18.600000000000001" x14ac:dyDescent="0.4">
      <c r="A5" s="13" t="s">
        <v>116</v>
      </c>
      <c r="C5" s="13"/>
      <c r="D5" s="13"/>
      <c r="E5" s="16"/>
      <c r="K5" s="14"/>
      <c r="L5" s="15"/>
      <c r="M5" s="15"/>
      <c r="N5" s="15"/>
      <c r="O5" s="16"/>
      <c r="P5" s="16"/>
      <c r="Q5" s="16"/>
    </row>
    <row r="6" spans="1:19" s="10" customFormat="1" ht="7.8" customHeight="1" x14ac:dyDescent="0.25">
      <c r="A6" s="13"/>
      <c r="C6" s="13"/>
      <c r="D6" s="13"/>
      <c r="E6" s="16"/>
      <c r="K6" s="14"/>
      <c r="L6" s="15"/>
      <c r="M6" s="15"/>
      <c r="N6" s="15"/>
      <c r="O6" s="16"/>
      <c r="P6" s="16"/>
      <c r="Q6" s="16"/>
    </row>
    <row r="7" spans="1:19" s="10" customFormat="1" ht="18.600000000000001" x14ac:dyDescent="0.3">
      <c r="A7" s="114" t="s">
        <v>114</v>
      </c>
      <c r="B7" s="114"/>
      <c r="C7" s="97"/>
      <c r="D7" s="19" t="s">
        <v>18</v>
      </c>
      <c r="F7" s="32"/>
    </row>
    <row r="8" spans="1:19" s="10" customFormat="1" ht="18.600000000000001" x14ac:dyDescent="0.25">
      <c r="A8" s="114" t="s">
        <v>115</v>
      </c>
      <c r="B8" s="114"/>
      <c r="C8" s="97"/>
      <c r="D8" s="64" t="s">
        <v>3</v>
      </c>
    </row>
    <row r="9" spans="1:19" s="10" customFormat="1" ht="15" x14ac:dyDescent="0.25">
      <c r="A9" s="114" t="s">
        <v>117</v>
      </c>
      <c r="B9" s="114"/>
      <c r="C9" s="38">
        <v>3.5</v>
      </c>
      <c r="D9" s="64" t="s">
        <v>6</v>
      </c>
    </row>
    <row r="10" spans="1:19" s="10" customFormat="1" ht="15" x14ac:dyDescent="0.25">
      <c r="A10" s="123" t="s">
        <v>118</v>
      </c>
      <c r="B10" s="123"/>
      <c r="C10" s="97"/>
      <c r="D10" s="64" t="s">
        <v>3</v>
      </c>
    </row>
    <row r="11" spans="1:19" s="10" customFormat="1" ht="18.600000000000001" x14ac:dyDescent="0.25">
      <c r="A11" s="114" t="s">
        <v>119</v>
      </c>
      <c r="B11" s="114"/>
      <c r="C11" s="38">
        <v>1.67</v>
      </c>
      <c r="D11" s="19" t="s">
        <v>7</v>
      </c>
      <c r="E11" s="18"/>
      <c r="F11" s="18"/>
      <c r="G11" s="18"/>
    </row>
    <row r="12" spans="1:19" s="10" customFormat="1" ht="15" x14ac:dyDescent="0.25">
      <c r="A12" s="16"/>
      <c r="B12" s="16"/>
      <c r="C12" s="16"/>
      <c r="D12" s="16"/>
      <c r="E12" s="16"/>
    </row>
    <row r="13" spans="1:19" s="26" customFormat="1" ht="18" x14ac:dyDescent="0.3">
      <c r="A13" s="34" t="s">
        <v>33</v>
      </c>
      <c r="B13" s="21" t="e">
        <f>(C7*C9*(C10+C8)*C11)/C8</f>
        <v>#DIV/0!</v>
      </c>
      <c r="C13" s="20" t="s">
        <v>19</v>
      </c>
      <c r="P13" s="25"/>
      <c r="Q13" s="28"/>
      <c r="R13" s="29"/>
      <c r="S13" s="30"/>
    </row>
    <row r="14" spans="1:19" s="10" customFormat="1" ht="39.6" x14ac:dyDescent="0.25">
      <c r="B14" s="66" t="s">
        <v>36</v>
      </c>
    </row>
  </sheetData>
  <sheetProtection password="DFF6" sheet="1" objects="1" scenarios="1"/>
  <mergeCells count="5">
    <mergeCell ref="A11:B11"/>
    <mergeCell ref="A7:B7"/>
    <mergeCell ref="A8:B8"/>
    <mergeCell ref="A9:B9"/>
    <mergeCell ref="A10:B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/>
  </sheetViews>
  <sheetFormatPr defaultRowHeight="14.4" x14ac:dyDescent="0.3"/>
  <cols>
    <col min="1" max="1" width="31.5546875" customWidth="1"/>
    <col min="2" max="2" width="16.88671875" customWidth="1"/>
    <col min="3" max="3" width="9.6640625" bestFit="1" customWidth="1"/>
    <col min="4" max="4" width="7.77734375" customWidth="1"/>
    <col min="5" max="5" width="15.5546875" customWidth="1"/>
    <col min="6" max="7" width="7.77734375" customWidth="1"/>
    <col min="8" max="8" width="13.109375" bestFit="1" customWidth="1"/>
    <col min="9" max="10" width="7.77734375" customWidth="1"/>
    <col min="11" max="11" width="13.109375" bestFit="1" customWidth="1"/>
    <col min="12" max="13" width="7.77734375" customWidth="1"/>
    <col min="14" max="14" width="13.21875" bestFit="1" customWidth="1"/>
    <col min="15" max="15" width="9.77734375" bestFit="1" customWidth="1"/>
  </cols>
  <sheetData>
    <row r="1" spans="1:16" s="10" customFormat="1" ht="17.399999999999999" x14ac:dyDescent="0.3">
      <c r="A1" s="56" t="s">
        <v>44</v>
      </c>
      <c r="B1" s="31"/>
    </row>
    <row r="2" spans="1:16" s="10" customFormat="1" ht="15" x14ac:dyDescent="0.25"/>
    <row r="3" spans="1:16" s="10" customFormat="1" ht="15.6" x14ac:dyDescent="0.3">
      <c r="A3" s="12" t="s">
        <v>17</v>
      </c>
      <c r="E3" s="16"/>
    </row>
    <row r="4" spans="1:16" ht="7.2" customHeight="1" x14ac:dyDescent="0.3">
      <c r="A4" s="9"/>
      <c r="B4" s="9"/>
    </row>
    <row r="5" spans="1:16" s="4" customFormat="1" ht="18" x14ac:dyDescent="0.4">
      <c r="A5" s="31" t="s">
        <v>41</v>
      </c>
      <c r="B5" s="8"/>
      <c r="C5" s="8"/>
      <c r="D5" s="8"/>
      <c r="E5" s="8"/>
    </row>
    <row r="6" spans="1:16" s="4" customFormat="1" ht="8.4" customHeight="1" x14ac:dyDescent="0.3">
      <c r="A6" s="31"/>
      <c r="B6" s="8"/>
      <c r="C6" s="8"/>
      <c r="D6" s="8"/>
      <c r="E6" s="8"/>
    </row>
    <row r="7" spans="1:16" s="10" customFormat="1" ht="17.399999999999999" x14ac:dyDescent="0.25">
      <c r="A7" s="114" t="s">
        <v>43</v>
      </c>
      <c r="B7" s="114"/>
      <c r="C7" s="97"/>
      <c r="D7" s="19" t="s">
        <v>18</v>
      </c>
    </row>
    <row r="8" spans="1:16" s="10" customFormat="1" ht="18.600000000000001" x14ac:dyDescent="0.25">
      <c r="A8" s="114" t="s">
        <v>42</v>
      </c>
      <c r="B8" s="114"/>
      <c r="C8" s="97"/>
      <c r="D8" s="64" t="s">
        <v>3</v>
      </c>
    </row>
    <row r="9" spans="1:16" s="10" customFormat="1" ht="18" customHeight="1" x14ac:dyDescent="0.25">
      <c r="A9" s="114" t="s">
        <v>8</v>
      </c>
      <c r="B9" s="114"/>
      <c r="C9" s="97"/>
      <c r="D9" s="64" t="s">
        <v>6</v>
      </c>
    </row>
    <row r="10" spans="1:16" s="10" customFormat="1" ht="18.600000000000001" x14ac:dyDescent="0.25">
      <c r="A10" s="114" t="s">
        <v>45</v>
      </c>
      <c r="B10" s="114"/>
      <c r="C10" s="38">
        <v>0.35</v>
      </c>
      <c r="D10" s="19"/>
      <c r="E10" s="18"/>
      <c r="F10" s="18"/>
    </row>
    <row r="11" spans="1:16" s="10" customFormat="1" ht="18.600000000000001" customHeight="1" x14ac:dyDescent="0.25">
      <c r="A11" s="114" t="s">
        <v>46</v>
      </c>
      <c r="B11" s="114"/>
      <c r="C11" s="98">
        <v>8.3000000000000004E-2</v>
      </c>
      <c r="D11" s="19" t="s">
        <v>60</v>
      </c>
      <c r="E11" s="18"/>
      <c r="F11" s="18"/>
    </row>
    <row r="12" spans="1:16" x14ac:dyDescent="0.3">
      <c r="A12" s="115"/>
      <c r="B12" s="115"/>
      <c r="C12" s="115"/>
      <c r="D12" s="115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8.600000000000001" x14ac:dyDescent="0.35">
      <c r="A13" s="34" t="s">
        <v>33</v>
      </c>
      <c r="B13" s="21">
        <f>C7*((C8*C10)+(C9/2*C11))</f>
        <v>0</v>
      </c>
      <c r="C13" s="20" t="s">
        <v>19</v>
      </c>
      <c r="D13" s="5"/>
    </row>
    <row r="14" spans="1:16" ht="39.6" x14ac:dyDescent="0.3">
      <c r="A14" s="10"/>
      <c r="B14" s="66" t="s">
        <v>36</v>
      </c>
      <c r="C14" s="10"/>
    </row>
    <row r="15" spans="1:16" ht="15.6" x14ac:dyDescent="0.3">
      <c r="B15" s="11"/>
      <c r="C15" s="10"/>
    </row>
  </sheetData>
  <sheetProtection password="DFF6" sheet="1" objects="1" scenarios="1"/>
  <mergeCells count="6">
    <mergeCell ref="A12:D12"/>
    <mergeCell ref="A8:B8"/>
    <mergeCell ref="A9:B9"/>
    <mergeCell ref="A11:B11"/>
    <mergeCell ref="A7:B7"/>
    <mergeCell ref="A10:B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/>
  </sheetViews>
  <sheetFormatPr defaultRowHeight="13.8" x14ac:dyDescent="0.25"/>
  <cols>
    <col min="1" max="1" width="32.5546875" style="75" customWidth="1"/>
    <col min="2" max="2" width="15.44140625" style="75" customWidth="1"/>
    <col min="3" max="3" width="9.6640625" style="75" bestFit="1" customWidth="1"/>
    <col min="4" max="4" width="7.77734375" style="75" customWidth="1"/>
    <col min="5" max="5" width="13.109375" style="75" bestFit="1" customWidth="1"/>
    <col min="6" max="7" width="7.77734375" style="75" customWidth="1"/>
    <col min="8" max="8" width="13.109375" style="75" bestFit="1" customWidth="1"/>
    <col min="9" max="10" width="7.77734375" style="75" customWidth="1"/>
    <col min="11" max="11" width="13.109375" style="75" bestFit="1" customWidth="1"/>
    <col min="12" max="13" width="7.77734375" style="75" customWidth="1"/>
    <col min="14" max="14" width="13.21875" style="75" bestFit="1" customWidth="1"/>
    <col min="15" max="15" width="9.77734375" style="75" bestFit="1" customWidth="1"/>
    <col min="16" max="16384" width="8.88671875" style="75"/>
  </cols>
  <sheetData>
    <row r="1" spans="1:17" s="10" customFormat="1" ht="17.399999999999999" x14ac:dyDescent="0.3">
      <c r="A1" s="56" t="s">
        <v>57</v>
      </c>
      <c r="B1" s="31"/>
    </row>
    <row r="2" spans="1:17" s="10" customFormat="1" ht="15" x14ac:dyDescent="0.25"/>
    <row r="3" spans="1:17" s="10" customFormat="1" ht="18" x14ac:dyDescent="0.4">
      <c r="A3" s="12" t="s">
        <v>58</v>
      </c>
      <c r="E3" s="16"/>
    </row>
    <row r="4" spans="1:17" ht="7.8" customHeight="1" x14ac:dyDescent="0.25"/>
    <row r="5" spans="1:17" ht="27.6" x14ac:dyDescent="0.25">
      <c r="A5" s="77" t="s">
        <v>67</v>
      </c>
    </row>
    <row r="6" spans="1:17" s="10" customFormat="1" ht="18" x14ac:dyDescent="0.4">
      <c r="A6" s="31" t="s">
        <v>66</v>
      </c>
      <c r="B6" s="73" t="s">
        <v>65</v>
      </c>
      <c r="C6" s="74">
        <f>C11/2*C12</f>
        <v>0</v>
      </c>
      <c r="D6" s="20" t="s">
        <v>3</v>
      </c>
      <c r="E6" s="16"/>
      <c r="K6" s="14"/>
      <c r="L6" s="15"/>
      <c r="M6" s="15"/>
      <c r="N6" s="15"/>
      <c r="O6" s="16"/>
      <c r="P6" s="16"/>
      <c r="Q6" s="16"/>
    </row>
    <row r="7" spans="1:17" s="10" customFormat="1" ht="7.8" customHeight="1" x14ac:dyDescent="0.3">
      <c r="A7" s="31"/>
      <c r="B7" s="72"/>
      <c r="C7" s="16"/>
      <c r="D7" s="16"/>
      <c r="E7" s="16"/>
      <c r="K7" s="14"/>
      <c r="L7" s="15"/>
      <c r="M7" s="15"/>
      <c r="N7" s="15"/>
      <c r="O7" s="16"/>
      <c r="P7" s="16"/>
      <c r="Q7" s="16"/>
    </row>
    <row r="8" spans="1:17" ht="18.600000000000001" customHeight="1" x14ac:dyDescent="0.25">
      <c r="A8" s="76" t="s">
        <v>68</v>
      </c>
    </row>
    <row r="9" spans="1:17" s="10" customFormat="1" ht="18" x14ac:dyDescent="0.4">
      <c r="A9" s="31" t="s">
        <v>127</v>
      </c>
      <c r="B9" s="73" t="s">
        <v>128</v>
      </c>
      <c r="C9" s="88">
        <f>C13+(C14/C15)</f>
        <v>0</v>
      </c>
      <c r="D9" s="20" t="s">
        <v>3</v>
      </c>
      <c r="E9" s="87" t="str">
        <f>IF(C9&gt;C6,"Maximum depth exceeded","")</f>
        <v/>
      </c>
      <c r="K9" s="14"/>
      <c r="L9" s="15"/>
      <c r="M9" s="15"/>
      <c r="N9" s="15"/>
      <c r="O9" s="16"/>
      <c r="P9" s="16"/>
      <c r="Q9" s="16"/>
    </row>
    <row r="10" spans="1:17" s="10" customFormat="1" ht="7.8" customHeight="1" x14ac:dyDescent="0.25">
      <c r="A10" s="13"/>
      <c r="C10" s="13"/>
      <c r="D10" s="13"/>
      <c r="E10" s="16"/>
      <c r="K10" s="14"/>
      <c r="L10" s="15"/>
      <c r="M10" s="15"/>
      <c r="N10" s="15"/>
      <c r="O10" s="16"/>
      <c r="P10" s="16"/>
      <c r="Q10" s="16"/>
    </row>
    <row r="11" spans="1:17" s="10" customFormat="1" ht="19.2" customHeight="1" x14ac:dyDescent="0.25">
      <c r="A11" s="114" t="s">
        <v>59</v>
      </c>
      <c r="B11" s="114"/>
      <c r="C11" s="97"/>
      <c r="D11" s="19" t="s">
        <v>6</v>
      </c>
      <c r="E11" s="79" t="str">
        <f>IF(C11="","",IF(C11&lt;0.6,"Minimum infiltration rate not met",""))</f>
        <v/>
      </c>
    </row>
    <row r="12" spans="1:17" s="10" customFormat="1" ht="19.2" customHeight="1" x14ac:dyDescent="0.25">
      <c r="A12" s="114" t="s">
        <v>64</v>
      </c>
      <c r="B12" s="114"/>
      <c r="C12" s="37">
        <v>3</v>
      </c>
      <c r="D12" s="64" t="s">
        <v>60</v>
      </c>
    </row>
    <row r="13" spans="1:17" s="10" customFormat="1" ht="18.600000000000001" x14ac:dyDescent="0.25">
      <c r="A13" s="114" t="s">
        <v>61</v>
      </c>
      <c r="B13" s="114"/>
      <c r="C13" s="97"/>
      <c r="D13" s="64" t="s">
        <v>3</v>
      </c>
    </row>
    <row r="14" spans="1:17" s="10" customFormat="1" ht="18.600000000000001" x14ac:dyDescent="0.25">
      <c r="A14" s="114" t="s">
        <v>62</v>
      </c>
      <c r="B14" s="116"/>
      <c r="C14" s="97"/>
      <c r="D14" s="64" t="s">
        <v>3</v>
      </c>
      <c r="E14" s="18"/>
      <c r="F14" s="18"/>
      <c r="G14" s="18"/>
    </row>
    <row r="15" spans="1:17" s="10" customFormat="1" ht="18.600000000000001" x14ac:dyDescent="0.25">
      <c r="A15" s="114" t="s">
        <v>63</v>
      </c>
      <c r="B15" s="114"/>
      <c r="C15" s="38">
        <v>0.35</v>
      </c>
      <c r="D15" s="17"/>
      <c r="E15" s="33"/>
      <c r="F15" s="33"/>
      <c r="G15" s="33"/>
      <c r="H15" s="33"/>
      <c r="I15" s="18"/>
    </row>
    <row r="16" spans="1:17" s="10" customFormat="1" ht="15" x14ac:dyDescent="0.25">
      <c r="A16" s="16"/>
      <c r="B16" s="16"/>
      <c r="C16" s="16"/>
      <c r="D16" s="16"/>
      <c r="E16" s="16"/>
    </row>
    <row r="17" spans="1:19" ht="18.600000000000001" customHeight="1" x14ac:dyDescent="0.3">
      <c r="A17" s="12" t="s">
        <v>69</v>
      </c>
    </row>
    <row r="18" spans="1:19" s="10" customFormat="1" ht="18" x14ac:dyDescent="0.4">
      <c r="A18" s="31" t="s">
        <v>70</v>
      </c>
      <c r="B18"/>
      <c r="C18"/>
      <c r="D18"/>
      <c r="E18"/>
      <c r="K18" s="14"/>
      <c r="L18" s="15"/>
      <c r="M18" s="15"/>
      <c r="N18" s="15"/>
      <c r="O18" s="16"/>
      <c r="P18" s="16"/>
      <c r="Q18" s="16"/>
    </row>
    <row r="19" spans="1:19" s="10" customFormat="1" ht="7.8" customHeight="1" x14ac:dyDescent="0.25">
      <c r="A19" s="13"/>
      <c r="C19" s="13"/>
      <c r="D19" s="13"/>
      <c r="E19" s="16"/>
      <c r="K19" s="14"/>
      <c r="L19" s="15"/>
      <c r="M19" s="15"/>
      <c r="N19" s="15"/>
      <c r="O19" s="16"/>
      <c r="P19" s="16"/>
      <c r="Q19" s="16"/>
    </row>
    <row r="20" spans="1:19" s="10" customFormat="1" ht="18.600000000000001" customHeight="1" x14ac:dyDescent="0.25">
      <c r="A20" s="114" t="s">
        <v>5</v>
      </c>
      <c r="B20" s="114"/>
      <c r="C20" s="97"/>
      <c r="D20" s="64" t="s">
        <v>38</v>
      </c>
      <c r="E20" s="16"/>
      <c r="K20" s="14"/>
      <c r="L20" s="15"/>
      <c r="M20" s="15"/>
      <c r="N20" s="15"/>
      <c r="O20" s="16"/>
      <c r="P20" s="16"/>
      <c r="Q20" s="16"/>
    </row>
    <row r="21" spans="1:19" s="10" customFormat="1" ht="18.600000000000001" customHeight="1" x14ac:dyDescent="0.25">
      <c r="A21" s="114" t="s">
        <v>71</v>
      </c>
      <c r="B21" s="114"/>
      <c r="C21" s="70">
        <f>C9</f>
        <v>0</v>
      </c>
      <c r="D21" s="64" t="s">
        <v>3</v>
      </c>
      <c r="E21" s="87"/>
      <c r="K21" s="14"/>
      <c r="L21" s="15"/>
      <c r="M21" s="15"/>
      <c r="N21" s="15"/>
      <c r="O21" s="16"/>
      <c r="P21" s="16"/>
      <c r="Q21" s="16"/>
    </row>
    <row r="22" spans="1:19" s="10" customFormat="1" ht="18.600000000000001" customHeight="1" x14ac:dyDescent="0.25">
      <c r="A22" s="114" t="s">
        <v>59</v>
      </c>
      <c r="B22" s="114"/>
      <c r="C22" s="70">
        <f>C11</f>
        <v>0</v>
      </c>
      <c r="D22" s="19" t="s">
        <v>6</v>
      </c>
    </row>
    <row r="23" spans="1:19" s="10" customFormat="1" ht="18.600000000000001" customHeight="1" x14ac:dyDescent="0.25">
      <c r="A23" s="114" t="s">
        <v>72</v>
      </c>
      <c r="B23" s="114"/>
      <c r="C23" s="108">
        <v>8.3000000000000004E-2</v>
      </c>
      <c r="D23" s="64" t="s">
        <v>60</v>
      </c>
    </row>
    <row r="25" spans="1:19" s="26" customFormat="1" ht="18" x14ac:dyDescent="0.3">
      <c r="A25" s="34" t="s">
        <v>33</v>
      </c>
      <c r="B25" s="21">
        <f>C20*(C21+(C22/2*C23))</f>
        <v>0</v>
      </c>
      <c r="C25" s="20" t="s">
        <v>19</v>
      </c>
      <c r="P25" s="25"/>
      <c r="Q25" s="28"/>
      <c r="R25" s="29"/>
      <c r="S25" s="30"/>
    </row>
    <row r="26" spans="1:19" s="10" customFormat="1" ht="39.6" x14ac:dyDescent="0.25">
      <c r="B26" s="66" t="s">
        <v>36</v>
      </c>
    </row>
  </sheetData>
  <sheetProtection password="DFF6" sheet="1" objects="1" scenarios="1"/>
  <mergeCells count="9">
    <mergeCell ref="A11:B11"/>
    <mergeCell ref="A21:B21"/>
    <mergeCell ref="A20:B20"/>
    <mergeCell ref="A22:B22"/>
    <mergeCell ref="A23:B23"/>
    <mergeCell ref="A15:B15"/>
    <mergeCell ref="A12:B12"/>
    <mergeCell ref="A13:B13"/>
    <mergeCell ref="A14:B1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/>
  </sheetViews>
  <sheetFormatPr defaultColWidth="9.109375" defaultRowHeight="13.8" x14ac:dyDescent="0.25"/>
  <cols>
    <col min="1" max="1" width="39.5546875" style="7" customWidth="1"/>
    <col min="2" max="2" width="13.21875" style="7" customWidth="1"/>
    <col min="3" max="3" width="10.88671875" style="7" bestFit="1" customWidth="1"/>
    <col min="4" max="4" width="7.77734375" style="7" customWidth="1"/>
    <col min="5" max="5" width="13.109375" style="7" bestFit="1" customWidth="1"/>
    <col min="6" max="7" width="7.77734375" style="7" customWidth="1"/>
    <col min="8" max="8" width="13.109375" style="7" bestFit="1" customWidth="1"/>
    <col min="9" max="10" width="7.77734375" style="7" customWidth="1"/>
    <col min="11" max="11" width="13.109375" style="7" bestFit="1" customWidth="1"/>
    <col min="12" max="13" width="7.77734375" style="7" customWidth="1"/>
    <col min="14" max="14" width="13.21875" style="7" bestFit="1" customWidth="1"/>
    <col min="15" max="15" width="11.109375" style="7" customWidth="1"/>
    <col min="16" max="16" width="9.109375" style="7" customWidth="1"/>
    <col min="17" max="16384" width="9.109375" style="7"/>
  </cols>
  <sheetData>
    <row r="1" spans="1:5" s="10" customFormat="1" ht="17.399999999999999" x14ac:dyDescent="0.3">
      <c r="A1" s="56" t="s">
        <v>37</v>
      </c>
      <c r="B1" s="31"/>
    </row>
    <row r="2" spans="1:5" s="10" customFormat="1" ht="15" x14ac:dyDescent="0.25"/>
    <row r="3" spans="1:5" s="10" customFormat="1" ht="15.6" x14ac:dyDescent="0.3">
      <c r="A3" s="12" t="s">
        <v>17</v>
      </c>
      <c r="E3" s="16"/>
    </row>
    <row r="4" spans="1:5" s="11" customFormat="1" ht="7.8" customHeight="1" x14ac:dyDescent="0.25"/>
    <row r="5" spans="1:5" s="11" customFormat="1" ht="18.600000000000001" x14ac:dyDescent="0.4">
      <c r="A5" s="68" t="s">
        <v>39</v>
      </c>
      <c r="B5" s="67"/>
      <c r="C5" s="67"/>
    </row>
    <row r="6" spans="1:5" s="11" customFormat="1" ht="9" customHeight="1" x14ac:dyDescent="0.3">
      <c r="A6" s="68"/>
      <c r="B6" s="67"/>
      <c r="C6" s="96"/>
    </row>
    <row r="7" spans="1:5" s="11" customFormat="1" ht="18" customHeight="1" x14ac:dyDescent="0.25">
      <c r="A7" s="114" t="s">
        <v>0</v>
      </c>
      <c r="B7" s="114"/>
      <c r="C7" s="97"/>
      <c r="D7" s="19" t="s">
        <v>18</v>
      </c>
    </row>
    <row r="8" spans="1:5" s="11" customFormat="1" ht="18" customHeight="1" x14ac:dyDescent="0.25">
      <c r="A8" s="114" t="s">
        <v>1</v>
      </c>
      <c r="B8" s="114"/>
      <c r="C8" s="97"/>
      <c r="D8" s="64" t="s">
        <v>4</v>
      </c>
    </row>
    <row r="9" spans="1:5" s="11" customFormat="1" ht="18" customHeight="1" x14ac:dyDescent="0.25">
      <c r="A9" s="114" t="s">
        <v>2</v>
      </c>
      <c r="B9" s="114"/>
      <c r="C9" s="97"/>
      <c r="D9" s="64" t="s">
        <v>4</v>
      </c>
    </row>
    <row r="10" spans="1:5" s="11" customFormat="1" ht="18" customHeight="1" x14ac:dyDescent="0.25">
      <c r="A10" s="114" t="s">
        <v>136</v>
      </c>
      <c r="B10" s="114"/>
      <c r="C10" s="97"/>
      <c r="D10" s="19"/>
    </row>
    <row r="11" spans="1:5" s="11" customFormat="1" ht="18" customHeight="1" x14ac:dyDescent="0.25">
      <c r="A11" s="114" t="s">
        <v>137</v>
      </c>
      <c r="B11" s="114"/>
      <c r="C11" s="97"/>
      <c r="D11" s="64"/>
    </row>
    <row r="12" spans="1:5" s="11" customFormat="1" ht="15" x14ac:dyDescent="0.25">
      <c r="C12" s="7"/>
      <c r="D12" s="7"/>
    </row>
    <row r="13" spans="1:5" s="11" customFormat="1" ht="18" x14ac:dyDescent="0.3">
      <c r="A13" s="34" t="s">
        <v>33</v>
      </c>
      <c r="B13" s="21">
        <f>C7*((C8*C10)+(C9*C11))/12</f>
        <v>0</v>
      </c>
      <c r="C13" s="20" t="s">
        <v>19</v>
      </c>
      <c r="D13" s="7"/>
    </row>
    <row r="14" spans="1:5" ht="52.8" x14ac:dyDescent="0.25">
      <c r="B14" s="66" t="s">
        <v>36</v>
      </c>
      <c r="C14" s="10"/>
    </row>
  </sheetData>
  <sheetProtection password="DFF6" sheet="1" objects="1" scenarios="1"/>
  <mergeCells count="5">
    <mergeCell ref="A11:B11"/>
    <mergeCell ref="A7:B7"/>
    <mergeCell ref="A8:B8"/>
    <mergeCell ref="A9:B9"/>
    <mergeCell ref="A10:B1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/>
  </sheetViews>
  <sheetFormatPr defaultRowHeight="14.4" x14ac:dyDescent="0.3"/>
  <cols>
    <col min="1" max="1" width="32.33203125" customWidth="1"/>
    <col min="2" max="2" width="15.44140625" customWidth="1"/>
    <col min="3" max="4" width="7.77734375" customWidth="1"/>
    <col min="5" max="5" width="13.109375" bestFit="1" customWidth="1"/>
    <col min="6" max="7" width="7.77734375" customWidth="1"/>
    <col min="8" max="8" width="13.109375" bestFit="1" customWidth="1"/>
    <col min="9" max="10" width="7.77734375" customWidth="1"/>
    <col min="11" max="11" width="13.109375" bestFit="1" customWidth="1"/>
    <col min="12" max="13" width="7.77734375" customWidth="1"/>
    <col min="14" max="14" width="13.21875" bestFit="1" customWidth="1"/>
    <col min="15" max="15" width="9.77734375" bestFit="1" customWidth="1"/>
  </cols>
  <sheetData>
    <row r="1" spans="1:17" s="10" customFormat="1" ht="17.399999999999999" x14ac:dyDescent="0.3">
      <c r="A1" s="56" t="s">
        <v>73</v>
      </c>
      <c r="B1" s="31"/>
    </row>
    <row r="2" spans="1:17" x14ac:dyDescent="0.3">
      <c r="A2" s="9"/>
      <c r="B2" s="9"/>
    </row>
    <row r="3" spans="1:17" ht="15.6" x14ac:dyDescent="0.3">
      <c r="A3" s="12" t="s">
        <v>47</v>
      </c>
      <c r="B3" s="10"/>
      <c r="C3" s="10"/>
    </row>
    <row r="4" spans="1:17" ht="15.6" x14ac:dyDescent="0.3">
      <c r="A4" s="69" t="s">
        <v>48</v>
      </c>
      <c r="B4" s="99"/>
      <c r="C4" s="64"/>
      <c r="D4" s="14"/>
    </row>
    <row r="5" spans="1:17" ht="15.6" x14ac:dyDescent="0.3">
      <c r="A5" s="69" t="s">
        <v>51</v>
      </c>
      <c r="B5" s="100"/>
      <c r="C5" s="64" t="s">
        <v>3</v>
      </c>
      <c r="D5" s="14" t="str">
        <f>IF(B5="","",IF(AND(B4="No",B5&gt;25),"Maximum width exceeded",IF(AND(B4="Yes",B5&gt;100),"Maximum width exceeded",IF(B5&lt;10,"Minimum width not met",""))))</f>
        <v/>
      </c>
    </row>
    <row r="6" spans="1:17" ht="15.6" x14ac:dyDescent="0.3">
      <c r="A6" s="69" t="s">
        <v>52</v>
      </c>
      <c r="B6" s="100"/>
      <c r="C6" s="64" t="s">
        <v>3</v>
      </c>
      <c r="D6" s="14" t="str">
        <f>IF(B6="","",IF(B6&lt;15,"Minimum length not met",IF(B6&gt;100,"Maximum length exceeded","")))</f>
        <v/>
      </c>
    </row>
    <row r="7" spans="1:17" ht="30" x14ac:dyDescent="0.3">
      <c r="A7" s="71" t="s">
        <v>53</v>
      </c>
      <c r="B7" s="99"/>
      <c r="C7" s="64"/>
      <c r="D7" s="14"/>
    </row>
    <row r="8" spans="1:17" ht="15.6" x14ac:dyDescent="0.3">
      <c r="A8" s="69" t="s">
        <v>54</v>
      </c>
      <c r="B8" s="100"/>
      <c r="C8" s="64" t="s">
        <v>11</v>
      </c>
      <c r="D8" s="14" t="str">
        <f>IF(B8="","",IF(AND(B7="No",B8&gt;2),"Maximum slope exceeded",IF(AND(B7="Yes",B8&gt;5),"Maximum slope exceeded","")))</f>
        <v/>
      </c>
    </row>
    <row r="9" spans="1:17" ht="33.6" x14ac:dyDescent="0.3">
      <c r="A9" s="71" t="s">
        <v>56</v>
      </c>
      <c r="B9" s="70">
        <f>B5*B6</f>
        <v>0</v>
      </c>
      <c r="C9" s="64" t="s">
        <v>38</v>
      </c>
      <c r="D9" s="14"/>
    </row>
    <row r="11" spans="1:17" s="10" customFormat="1" ht="15.6" x14ac:dyDescent="0.3">
      <c r="A11" s="12" t="s">
        <v>17</v>
      </c>
      <c r="E11" s="16"/>
    </row>
    <row r="12" spans="1:17" s="10" customFormat="1" ht="6.6" customHeight="1" x14ac:dyDescent="0.3">
      <c r="A12" s="12"/>
      <c r="E12" s="16"/>
    </row>
    <row r="13" spans="1:17" s="10" customFormat="1" ht="18.600000000000001" x14ac:dyDescent="0.4">
      <c r="A13" s="13" t="s">
        <v>55</v>
      </c>
      <c r="B13" s="70">
        <f>B9/12</f>
        <v>0</v>
      </c>
      <c r="C13" s="64" t="s">
        <v>19</v>
      </c>
      <c r="D13" s="13"/>
      <c r="E13" s="16"/>
      <c r="K13" s="14"/>
      <c r="L13" s="15"/>
      <c r="M13" s="15"/>
      <c r="N13" s="15"/>
      <c r="O13" s="16"/>
      <c r="P13" s="16"/>
      <c r="Q13" s="16"/>
    </row>
    <row r="14" spans="1:17" ht="39.6" x14ac:dyDescent="0.3">
      <c r="B14" s="66" t="s">
        <v>140</v>
      </c>
      <c r="C14" s="10"/>
    </row>
    <row r="16" spans="1:17" x14ac:dyDescent="0.3">
      <c r="A16" t="s">
        <v>141</v>
      </c>
    </row>
    <row r="17" spans="1:2" x14ac:dyDescent="0.3">
      <c r="A17" t="s">
        <v>142</v>
      </c>
    </row>
    <row r="23" spans="1:2" hidden="1" x14ac:dyDescent="0.3">
      <c r="B23" t="s">
        <v>49</v>
      </c>
    </row>
    <row r="24" spans="1:2" hidden="1" x14ac:dyDescent="0.3">
      <c r="B24" t="s">
        <v>50</v>
      </c>
    </row>
  </sheetData>
  <sheetProtection password="DFF6" sheet="1" objects="1" scenarios="1"/>
  <dataValidations count="2">
    <dataValidation type="list" allowBlank="1" showInputMessage="1" showErrorMessage="1" sqref="B7">
      <formula1>$B$23:$B$24</formula1>
    </dataValidation>
    <dataValidation type="list" allowBlank="1" showInputMessage="1" showErrorMessage="1" sqref="B4">
      <formula1>$B$23:$B$24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/>
  </sheetViews>
  <sheetFormatPr defaultRowHeight="14.4" x14ac:dyDescent="0.3"/>
  <cols>
    <col min="1" max="1" width="32.109375" customWidth="1"/>
    <col min="2" max="2" width="16.21875" customWidth="1"/>
    <col min="3" max="4" width="7.77734375" customWidth="1"/>
    <col min="5" max="5" width="13.109375" customWidth="1"/>
    <col min="6" max="7" width="7.77734375" customWidth="1"/>
    <col min="8" max="8" width="13.109375" customWidth="1"/>
    <col min="9" max="10" width="7.77734375" customWidth="1"/>
    <col min="11" max="11" width="13.109375" customWidth="1"/>
    <col min="12" max="13" width="7.77734375" customWidth="1"/>
    <col min="14" max="14" width="13.21875" bestFit="1" customWidth="1"/>
    <col min="15" max="15" width="9.77734375" customWidth="1"/>
  </cols>
  <sheetData>
    <row r="1" spans="1:17" s="10" customFormat="1" ht="17.399999999999999" x14ac:dyDescent="0.3">
      <c r="A1" s="56" t="s">
        <v>75</v>
      </c>
      <c r="B1" s="31"/>
    </row>
    <row r="2" spans="1:17" x14ac:dyDescent="0.3">
      <c r="A2" s="9"/>
      <c r="B2" s="9"/>
    </row>
    <row r="3" spans="1:17" ht="15.6" x14ac:dyDescent="0.3">
      <c r="A3" s="12" t="s">
        <v>74</v>
      </c>
      <c r="B3" s="10"/>
      <c r="C3" s="10"/>
    </row>
    <row r="4" spans="1:17" ht="15.6" x14ac:dyDescent="0.3">
      <c r="A4" s="69" t="s">
        <v>48</v>
      </c>
      <c r="B4" s="99"/>
      <c r="C4" s="64"/>
      <c r="D4" s="14"/>
    </row>
    <row r="5" spans="1:17" ht="15.6" x14ac:dyDescent="0.3">
      <c r="A5" s="69" t="s">
        <v>51</v>
      </c>
      <c r="B5" s="100"/>
      <c r="C5" s="64" t="s">
        <v>3</v>
      </c>
      <c r="D5" s="14" t="str">
        <f>IF(B5="","",IF(AND(B4="No",B5&gt;25),"Maximum width exceeded",IF(AND(B4="Yes",B5&gt;100),"Maximum width exceeded",IF(B5&lt;10,"Minimum width not met",""))))</f>
        <v/>
      </c>
    </row>
    <row r="6" spans="1:17" ht="15.6" x14ac:dyDescent="0.3">
      <c r="A6" s="69" t="s">
        <v>52</v>
      </c>
      <c r="B6" s="100"/>
      <c r="C6" s="64" t="s">
        <v>3</v>
      </c>
      <c r="D6" s="14" t="str">
        <f>IF(B6="","",IF(B6&lt;40,"Minimum length not met",IF(AND(B4="No",B6&gt;100),"Maximum length exceeded",IF(AND(B4="Yes",B6&gt;150),"Maximum length exceeded",""))))</f>
        <v/>
      </c>
    </row>
    <row r="7" spans="1:17" ht="30" x14ac:dyDescent="0.3">
      <c r="A7" s="71" t="s">
        <v>76</v>
      </c>
      <c r="B7" s="100"/>
      <c r="C7" s="64" t="s">
        <v>11</v>
      </c>
      <c r="D7" s="79" t="str">
        <f>IF(B7="","",IF(B7&gt;2,"Maximum slope exceeded",""))</f>
        <v/>
      </c>
    </row>
    <row r="8" spans="1:17" ht="30" x14ac:dyDescent="0.3">
      <c r="A8" s="71" t="s">
        <v>77</v>
      </c>
      <c r="B8" s="100"/>
      <c r="C8" s="64" t="s">
        <v>11</v>
      </c>
      <c r="D8" s="33" t="str">
        <f>IF(B8="","",IF(B8&gt;6,"Maximum slope exceeded",""))</f>
        <v/>
      </c>
    </row>
    <row r="9" spans="1:17" ht="33.6" x14ac:dyDescent="0.3">
      <c r="A9" s="71" t="s">
        <v>56</v>
      </c>
      <c r="B9" s="70">
        <f>B5*B6</f>
        <v>0</v>
      </c>
      <c r="C9" s="64" t="s">
        <v>38</v>
      </c>
      <c r="D9" s="14"/>
    </row>
    <row r="11" spans="1:17" s="10" customFormat="1" ht="15.6" x14ac:dyDescent="0.3">
      <c r="A11" s="12" t="s">
        <v>17</v>
      </c>
      <c r="E11" s="16"/>
    </row>
    <row r="12" spans="1:17" s="10" customFormat="1" ht="6.6" customHeight="1" x14ac:dyDescent="0.3">
      <c r="A12" s="12"/>
      <c r="E12" s="16"/>
    </row>
    <row r="13" spans="1:17" s="10" customFormat="1" ht="18.600000000000001" x14ac:dyDescent="0.4">
      <c r="A13" s="13" t="s">
        <v>55</v>
      </c>
      <c r="B13" s="70">
        <f>B9/12</f>
        <v>0</v>
      </c>
      <c r="C13" s="64" t="s">
        <v>19</v>
      </c>
      <c r="D13" s="13"/>
      <c r="E13" s="16"/>
      <c r="K13" s="14"/>
      <c r="L13" s="15"/>
      <c r="M13" s="15"/>
      <c r="N13" s="15"/>
      <c r="O13" s="16"/>
      <c r="P13" s="16"/>
      <c r="Q13" s="16"/>
    </row>
    <row r="14" spans="1:17" ht="39.6" x14ac:dyDescent="0.3">
      <c r="B14" s="66" t="s">
        <v>140</v>
      </c>
      <c r="C14" s="10"/>
    </row>
    <row r="16" spans="1:17" x14ac:dyDescent="0.3">
      <c r="A16" t="s">
        <v>143</v>
      </c>
    </row>
    <row r="23" spans="2:2" hidden="1" x14ac:dyDescent="0.3">
      <c r="B23" t="s">
        <v>49</v>
      </c>
    </row>
    <row r="24" spans="2:2" hidden="1" x14ac:dyDescent="0.3">
      <c r="B24" t="s">
        <v>50</v>
      </c>
    </row>
  </sheetData>
  <sheetProtection password="DFF6" sheet="1" objects="1" scenarios="1"/>
  <dataValidations count="1">
    <dataValidation type="list" allowBlank="1" showInputMessage="1" showErrorMessage="1" sqref="B4">
      <formula1>$B$23:$B$24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/>
  </sheetViews>
  <sheetFormatPr defaultRowHeight="14.4" x14ac:dyDescent="0.3"/>
  <cols>
    <col min="1" max="1" width="31.88671875" customWidth="1"/>
    <col min="2" max="2" width="16" customWidth="1"/>
    <col min="3" max="4" width="7.77734375" customWidth="1"/>
    <col min="5" max="5" width="13.109375" customWidth="1"/>
    <col min="6" max="7" width="7.77734375" customWidth="1"/>
    <col min="8" max="8" width="13.109375" customWidth="1"/>
    <col min="9" max="10" width="7.77734375" customWidth="1"/>
    <col min="11" max="11" width="13.109375" customWidth="1"/>
    <col min="12" max="13" width="7.77734375" customWidth="1"/>
    <col min="14" max="14" width="13.21875" bestFit="1" customWidth="1"/>
    <col min="15" max="15" width="9.77734375" customWidth="1"/>
  </cols>
  <sheetData>
    <row r="1" spans="1:17" s="10" customFormat="1" ht="17.399999999999999" x14ac:dyDescent="0.3">
      <c r="A1" s="56" t="s">
        <v>78</v>
      </c>
      <c r="B1" s="31"/>
    </row>
    <row r="2" spans="1:17" x14ac:dyDescent="0.3">
      <c r="A2" s="9"/>
      <c r="B2" s="9"/>
    </row>
    <row r="3" spans="1:17" ht="15.6" x14ac:dyDescent="0.3">
      <c r="A3" s="12" t="s">
        <v>79</v>
      </c>
      <c r="B3" s="10"/>
      <c r="C3" s="10"/>
    </row>
    <row r="4" spans="1:17" ht="15.6" x14ac:dyDescent="0.3">
      <c r="A4" s="69" t="s">
        <v>51</v>
      </c>
      <c r="B4" s="101">
        <v>10</v>
      </c>
      <c r="C4" s="64" t="s">
        <v>3</v>
      </c>
      <c r="D4" s="14" t="str">
        <f>IF(B4="","",IF(B4&lt;&gt;10,"Filter path width must be 10 feet",""))</f>
        <v/>
      </c>
    </row>
    <row r="5" spans="1:17" ht="15.6" x14ac:dyDescent="0.3">
      <c r="A5" s="69" t="s">
        <v>52</v>
      </c>
      <c r="B5" s="100"/>
      <c r="C5" s="64" t="s">
        <v>3</v>
      </c>
      <c r="D5" s="14" t="str">
        <f>IF(B5="","",IF(B5&lt;15,"Minimum length not met",""))</f>
        <v/>
      </c>
    </row>
    <row r="6" spans="1:17" ht="15.6" x14ac:dyDescent="0.3">
      <c r="A6" s="69" t="s">
        <v>54</v>
      </c>
      <c r="B6" s="100"/>
      <c r="C6" s="64" t="s">
        <v>11</v>
      </c>
      <c r="D6" s="80" t="str">
        <f>IF(B6="","",IF(B6&gt;10,"Maximum slope exceeded",""))</f>
        <v/>
      </c>
    </row>
    <row r="7" spans="1:17" ht="33.6" x14ac:dyDescent="0.3">
      <c r="A7" s="71" t="s">
        <v>56</v>
      </c>
      <c r="B7" s="70">
        <f>B4*B5</f>
        <v>0</v>
      </c>
      <c r="C7" s="64" t="s">
        <v>38</v>
      </c>
      <c r="D7" s="10"/>
    </row>
    <row r="9" spans="1:17" s="10" customFormat="1" ht="15.6" x14ac:dyDescent="0.3">
      <c r="A9" s="12" t="s">
        <v>17</v>
      </c>
      <c r="E9" s="16"/>
    </row>
    <row r="10" spans="1:17" s="10" customFormat="1" ht="6.6" customHeight="1" x14ac:dyDescent="0.3">
      <c r="A10" s="12"/>
      <c r="E10" s="16"/>
    </row>
    <row r="11" spans="1:17" s="10" customFormat="1" ht="18.600000000000001" x14ac:dyDescent="0.4">
      <c r="A11" s="13" t="s">
        <v>55</v>
      </c>
      <c r="B11" s="70">
        <f>B7/12</f>
        <v>0</v>
      </c>
      <c r="C11" s="64" t="s">
        <v>19</v>
      </c>
      <c r="D11" s="13"/>
      <c r="E11" s="16"/>
      <c r="K11" s="14"/>
      <c r="L11" s="15"/>
      <c r="M11" s="15"/>
      <c r="N11" s="15"/>
      <c r="O11" s="16"/>
      <c r="P11" s="16"/>
      <c r="Q11" s="16"/>
    </row>
    <row r="12" spans="1:17" ht="39.6" x14ac:dyDescent="0.3">
      <c r="B12" s="66" t="s">
        <v>140</v>
      </c>
      <c r="C12" s="10"/>
    </row>
    <row r="14" spans="1:17" x14ac:dyDescent="0.3">
      <c r="A14" t="s">
        <v>144</v>
      </c>
    </row>
    <row r="21" spans="2:2" hidden="1" x14ac:dyDescent="0.3">
      <c r="B21" t="s">
        <v>49</v>
      </c>
    </row>
    <row r="22" spans="2:2" hidden="1" x14ac:dyDescent="0.3">
      <c r="B22" t="s">
        <v>50</v>
      </c>
    </row>
  </sheetData>
  <sheetProtection password="DFF6" sheet="1" objects="1" scenarios="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"/>
  <sheetViews>
    <sheetView workbookViewId="0"/>
  </sheetViews>
  <sheetFormatPr defaultRowHeight="14.4" x14ac:dyDescent="0.3"/>
  <cols>
    <col min="1" max="1" width="32.109375" customWidth="1"/>
    <col min="2" max="2" width="15.5546875" customWidth="1"/>
    <col min="3" max="4" width="7.6640625" customWidth="1"/>
    <col min="5" max="5" width="13.109375" bestFit="1" customWidth="1"/>
    <col min="6" max="7" width="7.6640625" customWidth="1"/>
    <col min="8" max="8" width="13.109375" bestFit="1" customWidth="1"/>
    <col min="9" max="10" width="7.6640625" customWidth="1"/>
    <col min="11" max="11" width="13.109375" bestFit="1" customWidth="1"/>
    <col min="12" max="13" width="7.6640625" customWidth="1"/>
    <col min="14" max="14" width="13.21875" bestFit="1" customWidth="1"/>
    <col min="15" max="15" width="9.77734375" bestFit="1" customWidth="1"/>
  </cols>
  <sheetData>
    <row r="1" spans="1:19" s="10" customFormat="1" ht="18" thickBot="1" x14ac:dyDescent="0.35">
      <c r="A1" s="56" t="s">
        <v>80</v>
      </c>
      <c r="B1" s="31"/>
    </row>
    <row r="2" spans="1:19" s="26" customFormat="1" ht="16.2" thickBot="1" x14ac:dyDescent="0.35">
      <c r="A2" s="57"/>
      <c r="B2" s="120" t="s">
        <v>121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2"/>
      <c r="N2" s="23"/>
      <c r="O2" s="22"/>
      <c r="P2" s="27"/>
    </row>
    <row r="3" spans="1:19" s="36" customFormat="1" ht="15.6" x14ac:dyDescent="0.3">
      <c r="A3" s="44" t="s">
        <v>16</v>
      </c>
      <c r="B3" s="49" t="s">
        <v>25</v>
      </c>
      <c r="C3" s="50" t="s">
        <v>26</v>
      </c>
      <c r="D3" s="51" t="s">
        <v>32</v>
      </c>
      <c r="E3" s="49" t="s">
        <v>27</v>
      </c>
      <c r="F3" s="50" t="s">
        <v>26</v>
      </c>
      <c r="G3" s="51" t="s">
        <v>32</v>
      </c>
      <c r="H3" s="49" t="s">
        <v>28</v>
      </c>
      <c r="I3" s="50" t="s">
        <v>26</v>
      </c>
      <c r="J3" s="51" t="s">
        <v>32</v>
      </c>
      <c r="K3" s="52" t="s">
        <v>29</v>
      </c>
      <c r="L3" s="50" t="s">
        <v>26</v>
      </c>
      <c r="M3" s="51" t="s">
        <v>32</v>
      </c>
      <c r="N3" s="53" t="s">
        <v>122</v>
      </c>
      <c r="O3" s="54" t="s">
        <v>31</v>
      </c>
      <c r="P3" s="55" t="s">
        <v>32</v>
      </c>
      <c r="Q3" s="35"/>
    </row>
    <row r="4" spans="1:19" s="36" customFormat="1" ht="15" x14ac:dyDescent="0.3">
      <c r="A4" s="45" t="s">
        <v>14</v>
      </c>
      <c r="B4" s="93"/>
      <c r="C4" s="37">
        <v>30</v>
      </c>
      <c r="D4" s="43">
        <v>0.02</v>
      </c>
      <c r="E4" s="89"/>
      <c r="F4" s="37">
        <v>55</v>
      </c>
      <c r="G4" s="43">
        <v>0.03</v>
      </c>
      <c r="H4" s="89"/>
      <c r="I4" s="37">
        <v>70</v>
      </c>
      <c r="J4" s="43">
        <v>0.04</v>
      </c>
      <c r="K4" s="89"/>
      <c r="L4" s="37">
        <v>77</v>
      </c>
      <c r="M4" s="43">
        <v>0.05</v>
      </c>
      <c r="N4" s="91">
        <f>B4+E4+H4+K4</f>
        <v>0</v>
      </c>
      <c r="O4" s="39">
        <f>IF($N$7&gt;0,N4/$N$7,0)</f>
        <v>0</v>
      </c>
      <c r="P4" s="47">
        <f>IF(N4&gt;0,(B4*D4+E4*G4+H4*J4+K4*M4)/N4,0)</f>
        <v>0</v>
      </c>
      <c r="Q4" s="35"/>
    </row>
    <row r="5" spans="1:19" s="36" customFormat="1" ht="15" x14ac:dyDescent="0.3">
      <c r="A5" s="46" t="s">
        <v>15</v>
      </c>
      <c r="B5" s="93"/>
      <c r="C5" s="37">
        <v>39</v>
      </c>
      <c r="D5" s="43">
        <v>0.15</v>
      </c>
      <c r="E5" s="89"/>
      <c r="F5" s="37">
        <v>61</v>
      </c>
      <c r="G5" s="43">
        <v>0.2</v>
      </c>
      <c r="H5" s="89"/>
      <c r="I5" s="37">
        <v>74</v>
      </c>
      <c r="J5" s="43">
        <v>0.22</v>
      </c>
      <c r="K5" s="89"/>
      <c r="L5" s="37">
        <v>80</v>
      </c>
      <c r="M5" s="43">
        <v>0.25</v>
      </c>
      <c r="N5" s="91">
        <f>B5+E5+H5+K5</f>
        <v>0</v>
      </c>
      <c r="O5" s="39">
        <f>IF($N$7&gt;0,N5/$N$7,0)</f>
        <v>0</v>
      </c>
      <c r="P5" s="47">
        <f t="shared" ref="P5:P6" si="0">IF(N5&gt;0,(B5*D5+E5*G5+H5*J5+K5*M5)/N5,0)</f>
        <v>0</v>
      </c>
      <c r="Q5" s="35"/>
    </row>
    <row r="6" spans="1:19" s="36" customFormat="1" ht="15.6" thickBot="1" x14ac:dyDescent="0.35">
      <c r="A6" s="45" t="s">
        <v>13</v>
      </c>
      <c r="B6" s="94"/>
      <c r="C6" s="37">
        <v>98</v>
      </c>
      <c r="D6" s="43">
        <v>0.95</v>
      </c>
      <c r="E6" s="89"/>
      <c r="F6" s="37">
        <v>98</v>
      </c>
      <c r="G6" s="43">
        <v>0.95</v>
      </c>
      <c r="H6" s="89"/>
      <c r="I6" s="37">
        <v>98</v>
      </c>
      <c r="J6" s="43">
        <v>0.95</v>
      </c>
      <c r="K6" s="89"/>
      <c r="L6" s="37">
        <v>98</v>
      </c>
      <c r="M6" s="43">
        <v>0.95</v>
      </c>
      <c r="N6" s="91">
        <f>B6+E6+H6+K6</f>
        <v>0</v>
      </c>
      <c r="O6" s="39">
        <f>IF($N$7&gt;0,N6/$N$7,0)</f>
        <v>0</v>
      </c>
      <c r="P6" s="47">
        <f t="shared" si="0"/>
        <v>0</v>
      </c>
      <c r="Q6" s="40"/>
      <c r="R6" s="40"/>
    </row>
    <row r="7" spans="1:19" s="36" customFormat="1" ht="16.2" thickBot="1" x14ac:dyDescent="0.35">
      <c r="A7" s="48" t="s">
        <v>30</v>
      </c>
      <c r="B7" s="95">
        <f>SUM(B4:B6)</f>
        <v>0</v>
      </c>
      <c r="C7" s="59"/>
      <c r="D7" s="60"/>
      <c r="E7" s="90">
        <f>SUM(E4:E6)</f>
        <v>0</v>
      </c>
      <c r="F7" s="59"/>
      <c r="G7" s="60"/>
      <c r="H7" s="90">
        <f>SUM(H4:H6)</f>
        <v>0</v>
      </c>
      <c r="I7" s="59"/>
      <c r="J7" s="60"/>
      <c r="K7" s="90">
        <f>SUM(K4:K6)</f>
        <v>0</v>
      </c>
      <c r="L7" s="59"/>
      <c r="M7" s="60"/>
      <c r="N7" s="92">
        <f>B7+E7+H7+K7</f>
        <v>0</v>
      </c>
      <c r="O7" s="61">
        <f>IF($N$7&gt;0,N7/$N$7,0)</f>
        <v>0</v>
      </c>
      <c r="P7" s="62">
        <f>IF(N7&gt;0,(P4*N4+P5*N5+P6*N6)/N7,0)</f>
        <v>0</v>
      </c>
      <c r="Q7" s="41"/>
      <c r="R7" s="42"/>
    </row>
    <row r="8" spans="1:19" s="26" customFormat="1" ht="13.8" x14ac:dyDescent="0.25">
      <c r="A8" s="24"/>
      <c r="P8" s="25"/>
      <c r="Q8" s="28"/>
      <c r="R8" s="29"/>
      <c r="S8" s="30"/>
    </row>
    <row r="9" spans="1:19" s="26" customFormat="1" ht="13.8" x14ac:dyDescent="0.25">
      <c r="A9" s="118" t="s">
        <v>138</v>
      </c>
      <c r="B9" s="119"/>
      <c r="C9" s="113" t="s">
        <v>50</v>
      </c>
      <c r="P9" s="25"/>
      <c r="Q9" s="28"/>
      <c r="R9" s="29"/>
      <c r="S9" s="30"/>
    </row>
    <row r="10" spans="1:19" s="26" customFormat="1" hidden="1" x14ac:dyDescent="0.3">
      <c r="A10" s="109"/>
      <c r="B10" s="109"/>
      <c r="C10" s="110" t="s">
        <v>49</v>
      </c>
      <c r="P10" s="25"/>
      <c r="Q10" s="28"/>
      <c r="R10" s="29"/>
      <c r="S10" s="30"/>
    </row>
    <row r="11" spans="1:19" s="26" customFormat="1" hidden="1" x14ac:dyDescent="0.3">
      <c r="A11" s="109"/>
      <c r="B11" s="109"/>
      <c r="C11" s="110" t="s">
        <v>50</v>
      </c>
      <c r="P11" s="25"/>
      <c r="Q11" s="28"/>
      <c r="R11" s="29"/>
      <c r="S11" s="30"/>
    </row>
    <row r="12" spans="1:19" s="26" customFormat="1" ht="13.8" hidden="1" x14ac:dyDescent="0.25">
      <c r="A12" s="24"/>
      <c r="B12" s="111" t="s">
        <v>139</v>
      </c>
      <c r="C12" s="112">
        <f>IF(C9="No",1.2,1.5/0.95)</f>
        <v>1.2</v>
      </c>
      <c r="P12" s="25"/>
      <c r="Q12" s="28"/>
      <c r="R12" s="29"/>
      <c r="S12" s="30"/>
    </row>
    <row r="13" spans="1:19" s="26" customFormat="1" ht="13.8" x14ac:dyDescent="0.25">
      <c r="A13" s="24"/>
      <c r="P13" s="25"/>
      <c r="Q13" s="28"/>
      <c r="R13" s="29"/>
      <c r="S13" s="30"/>
    </row>
    <row r="14" spans="1:19" s="26" customFormat="1" ht="18" x14ac:dyDescent="0.3">
      <c r="A14" s="34" t="s">
        <v>12</v>
      </c>
      <c r="B14" s="63">
        <f>C12/12*(N4*P4+N5*P5+N6*P6)*43560</f>
        <v>0</v>
      </c>
      <c r="C14" s="58" t="s">
        <v>35</v>
      </c>
      <c r="P14" s="25"/>
      <c r="Q14" s="28"/>
      <c r="R14" s="29"/>
      <c r="S14" s="30"/>
    </row>
    <row r="15" spans="1:19" x14ac:dyDescent="0.3">
      <c r="B15" s="2"/>
      <c r="C15" s="3"/>
    </row>
    <row r="16" spans="1:19" s="10" customFormat="1" ht="15.6" x14ac:dyDescent="0.3">
      <c r="A16" s="12" t="s">
        <v>87</v>
      </c>
      <c r="E16" s="16"/>
    </row>
    <row r="17" spans="1:17" s="10" customFormat="1" ht="6.6" customHeight="1" x14ac:dyDescent="0.3">
      <c r="A17" s="12"/>
      <c r="E17" s="16"/>
    </row>
    <row r="18" spans="1:17" s="10" customFormat="1" ht="19.2" x14ac:dyDescent="0.4">
      <c r="A18" s="13" t="s">
        <v>88</v>
      </c>
      <c r="C18" s="13"/>
      <c r="D18" s="13"/>
      <c r="E18" s="16"/>
      <c r="K18" s="14"/>
      <c r="L18" s="15"/>
      <c r="M18" s="15"/>
      <c r="N18" s="15"/>
      <c r="O18" s="16"/>
      <c r="P18" s="16"/>
      <c r="Q18" s="16"/>
    </row>
    <row r="19" spans="1:17" s="10" customFormat="1" ht="7.8" customHeight="1" x14ac:dyDescent="0.25">
      <c r="A19" s="13"/>
      <c r="C19" s="13"/>
      <c r="D19" s="13"/>
      <c r="E19" s="16"/>
      <c r="K19" s="14"/>
      <c r="L19" s="15"/>
      <c r="M19" s="15"/>
      <c r="N19" s="15"/>
      <c r="O19" s="16"/>
      <c r="P19" s="16"/>
      <c r="Q19" s="16"/>
    </row>
    <row r="20" spans="1:17" s="10" customFormat="1" ht="18.600000000000001" customHeight="1" x14ac:dyDescent="0.3">
      <c r="A20" s="117" t="s">
        <v>90</v>
      </c>
      <c r="B20" s="116"/>
      <c r="C20" s="102">
        <v>9</v>
      </c>
      <c r="D20" s="19" t="s">
        <v>89</v>
      </c>
      <c r="F20" s="32"/>
    </row>
    <row r="21" spans="1:17" s="10" customFormat="1" ht="18.600000000000001" customHeight="1" x14ac:dyDescent="0.25">
      <c r="A21" s="117" t="s">
        <v>91</v>
      </c>
      <c r="B21" s="116"/>
      <c r="C21" s="102">
        <v>135.65</v>
      </c>
      <c r="D21" s="64"/>
    </row>
    <row r="22" spans="1:17" s="10" customFormat="1" ht="18.600000000000001" customHeight="1" x14ac:dyDescent="0.25">
      <c r="A22" s="117" t="s">
        <v>92</v>
      </c>
      <c r="B22" s="116"/>
      <c r="C22" s="103">
        <v>40.200000000000003</v>
      </c>
      <c r="D22" s="64"/>
    </row>
    <row r="23" spans="1:17" s="10" customFormat="1" ht="18.600000000000001" customHeight="1" x14ac:dyDescent="0.25">
      <c r="A23" s="117" t="s">
        <v>93</v>
      </c>
      <c r="B23" s="116"/>
      <c r="C23" s="104">
        <v>1.0863</v>
      </c>
      <c r="D23" s="64"/>
    </row>
    <row r="25" spans="1:17" ht="15.6" x14ac:dyDescent="0.3">
      <c r="A25" s="34" t="s">
        <v>94</v>
      </c>
      <c r="B25" s="78">
        <f>IF(C20="","",C21/((C22+C20)^C23))</f>
        <v>1.9698724528324798</v>
      </c>
      <c r="C25" s="20" t="s">
        <v>95</v>
      </c>
      <c r="D25" s="34"/>
    </row>
    <row r="26" spans="1:17" x14ac:dyDescent="0.3">
      <c r="A26" s="6"/>
    </row>
    <row r="27" spans="1:17" s="10" customFormat="1" ht="15.6" x14ac:dyDescent="0.3">
      <c r="A27" s="12" t="s">
        <v>96</v>
      </c>
      <c r="E27" s="16"/>
    </row>
    <row r="28" spans="1:17" s="10" customFormat="1" ht="6.6" customHeight="1" x14ac:dyDescent="0.3">
      <c r="A28" s="12"/>
      <c r="E28" s="16"/>
    </row>
    <row r="29" spans="1:17" s="10" customFormat="1" ht="18.600000000000001" x14ac:dyDescent="0.4">
      <c r="A29" s="13" t="s">
        <v>103</v>
      </c>
      <c r="C29" s="13"/>
      <c r="D29" s="13"/>
      <c r="E29" s="16"/>
      <c r="K29" s="14"/>
      <c r="L29" s="15"/>
      <c r="M29" s="15"/>
      <c r="N29" s="15"/>
      <c r="O29" s="16"/>
      <c r="P29" s="16"/>
      <c r="Q29" s="16"/>
    </row>
    <row r="30" spans="1:17" s="10" customFormat="1" ht="7.8" customHeight="1" x14ac:dyDescent="0.25">
      <c r="A30" s="13"/>
      <c r="C30" s="13"/>
      <c r="D30" s="13"/>
      <c r="E30" s="16"/>
      <c r="K30" s="14"/>
      <c r="L30" s="15"/>
      <c r="M30" s="15"/>
      <c r="N30" s="15"/>
      <c r="O30" s="16"/>
      <c r="P30" s="16"/>
      <c r="Q30" s="16"/>
    </row>
    <row r="31" spans="1:17" s="10" customFormat="1" ht="18.600000000000001" customHeight="1" x14ac:dyDescent="0.3">
      <c r="A31" s="117" t="s">
        <v>97</v>
      </c>
      <c r="B31" s="116"/>
      <c r="C31" s="97"/>
      <c r="D31" s="19"/>
      <c r="F31" s="32"/>
    </row>
    <row r="32" spans="1:17" s="10" customFormat="1" ht="18.600000000000001" customHeight="1" x14ac:dyDescent="0.25">
      <c r="A32" s="117" t="s">
        <v>94</v>
      </c>
      <c r="B32" s="116"/>
      <c r="C32" s="70">
        <f>B25</f>
        <v>1.9698724528324798</v>
      </c>
      <c r="D32" s="64" t="s">
        <v>95</v>
      </c>
    </row>
    <row r="33" spans="1:6" s="10" customFormat="1" ht="18.600000000000001" customHeight="1" x14ac:dyDescent="0.25">
      <c r="A33" s="117" t="s">
        <v>98</v>
      </c>
      <c r="B33" s="116"/>
      <c r="C33" s="82">
        <f>N7</f>
        <v>0</v>
      </c>
      <c r="D33" s="64" t="s">
        <v>99</v>
      </c>
    </row>
    <row r="35" spans="1:6" ht="33.6" x14ac:dyDescent="0.4">
      <c r="A35" s="81" t="s">
        <v>100</v>
      </c>
      <c r="B35" s="70">
        <f>C31*C32*C33</f>
        <v>0</v>
      </c>
      <c r="C35" s="64" t="s">
        <v>86</v>
      </c>
      <c r="D35" s="34"/>
    </row>
    <row r="36" spans="1:6" s="10" customFormat="1" ht="15" x14ac:dyDescent="0.25"/>
    <row r="37" spans="1:6" s="10" customFormat="1" ht="15.6" x14ac:dyDescent="0.3">
      <c r="A37" s="12" t="s">
        <v>101</v>
      </c>
    </row>
    <row r="38" spans="1:6" s="10" customFormat="1" ht="6" customHeight="1" x14ac:dyDescent="0.25"/>
    <row r="39" spans="1:6" s="10" customFormat="1" ht="19.2" x14ac:dyDescent="0.4">
      <c r="A39" s="10" t="s">
        <v>102</v>
      </c>
    </row>
    <row r="40" spans="1:6" s="10" customFormat="1" ht="6.6" customHeight="1" x14ac:dyDescent="0.25"/>
    <row r="41" spans="1:6" s="10" customFormat="1" ht="18.600000000000001" customHeight="1" x14ac:dyDescent="0.3">
      <c r="A41" s="117" t="s">
        <v>81</v>
      </c>
      <c r="B41" s="116"/>
      <c r="C41" s="102">
        <v>0.2</v>
      </c>
      <c r="D41" s="19"/>
      <c r="F41" s="32"/>
    </row>
    <row r="42" spans="1:6" s="10" customFormat="1" ht="18.600000000000001" customHeight="1" x14ac:dyDescent="0.25">
      <c r="A42" s="117" t="s">
        <v>104</v>
      </c>
      <c r="B42" s="116"/>
      <c r="C42" s="70">
        <f>B35</f>
        <v>0</v>
      </c>
      <c r="D42" s="64" t="s">
        <v>86</v>
      </c>
    </row>
    <row r="43" spans="1:6" s="10" customFormat="1" ht="18.600000000000001" customHeight="1" x14ac:dyDescent="0.25">
      <c r="A43" s="117" t="s">
        <v>105</v>
      </c>
      <c r="B43" s="116"/>
      <c r="C43" s="105"/>
      <c r="D43" s="64" t="s">
        <v>3</v>
      </c>
      <c r="E43" s="79" t="str">
        <f>IF(C43&gt;(4/12),"Maximum flow depth is 4 inches","")</f>
        <v/>
      </c>
    </row>
    <row r="44" spans="1:6" s="10" customFormat="1" ht="18.600000000000001" customHeight="1" x14ac:dyDescent="0.3">
      <c r="A44" s="117" t="s">
        <v>82</v>
      </c>
      <c r="B44" s="116"/>
      <c r="C44" s="106"/>
      <c r="D44" s="19" t="s">
        <v>83</v>
      </c>
      <c r="F44" s="32"/>
    </row>
    <row r="45" spans="1:6" s="10" customFormat="1" ht="15" x14ac:dyDescent="0.25"/>
    <row r="46" spans="1:6" s="10" customFormat="1" ht="15.6" x14ac:dyDescent="0.3">
      <c r="A46" s="81" t="s">
        <v>129</v>
      </c>
      <c r="B46" s="70" t="e">
        <f>(C41*C42)/(1.49*(C43^(5/2))*(C44^0.5))</f>
        <v>#DIV/0!</v>
      </c>
      <c r="C46" s="64" t="s">
        <v>3</v>
      </c>
    </row>
    <row r="47" spans="1:6" s="10" customFormat="1" ht="15" x14ac:dyDescent="0.25"/>
    <row r="48" spans="1:6" s="10" customFormat="1" ht="15.6" x14ac:dyDescent="0.3">
      <c r="A48" s="12" t="s">
        <v>106</v>
      </c>
    </row>
    <row r="49" spans="1:8" s="10" customFormat="1" ht="6" customHeight="1" x14ac:dyDescent="0.25"/>
    <row r="50" spans="1:8" s="10" customFormat="1" ht="18.600000000000001" x14ac:dyDescent="0.4">
      <c r="A50" s="10" t="s">
        <v>107</v>
      </c>
    </row>
    <row r="51" spans="1:8" s="10" customFormat="1" ht="6.6" customHeight="1" x14ac:dyDescent="0.25"/>
    <row r="52" spans="1:8" s="10" customFormat="1" ht="18.600000000000001" customHeight="1" x14ac:dyDescent="0.25">
      <c r="A52" s="117" t="s">
        <v>104</v>
      </c>
      <c r="B52" s="116"/>
      <c r="C52" s="70">
        <f>B35</f>
        <v>0</v>
      </c>
      <c r="D52" s="64" t="s">
        <v>86</v>
      </c>
      <c r="H52" s="83"/>
    </row>
    <row r="53" spans="1:8" s="10" customFormat="1" ht="18.600000000000001" customHeight="1" x14ac:dyDescent="0.25">
      <c r="A53" s="117" t="s">
        <v>84</v>
      </c>
      <c r="B53" s="116"/>
      <c r="C53" s="105"/>
      <c r="D53" s="64" t="s">
        <v>3</v>
      </c>
      <c r="E53" s="79" t="str">
        <f>IF(C53="","",IF(C53&lt;B46,"Minimum width not met",""))</f>
        <v/>
      </c>
    </row>
    <row r="54" spans="1:8" s="10" customFormat="1" ht="18.600000000000001" customHeight="1" x14ac:dyDescent="0.3">
      <c r="A54" s="117" t="s">
        <v>85</v>
      </c>
      <c r="B54" s="116"/>
      <c r="C54" s="70">
        <f>C43</f>
        <v>0</v>
      </c>
      <c r="D54" s="19" t="s">
        <v>3</v>
      </c>
      <c r="E54" s="79"/>
      <c r="F54" s="32"/>
    </row>
    <row r="55" spans="1:8" s="10" customFormat="1" ht="15" x14ac:dyDescent="0.25"/>
    <row r="56" spans="1:8" s="10" customFormat="1" ht="15.6" x14ac:dyDescent="0.3">
      <c r="A56" s="81" t="s">
        <v>10</v>
      </c>
      <c r="B56" s="70" t="e">
        <f>C52/(C53*C54)</f>
        <v>#DIV/0!</v>
      </c>
      <c r="C56" s="64" t="s">
        <v>9</v>
      </c>
    </row>
    <row r="57" spans="1:8" s="10" customFormat="1" ht="15" x14ac:dyDescent="0.25"/>
    <row r="58" spans="1:8" s="10" customFormat="1" ht="15.6" x14ac:dyDescent="0.3">
      <c r="A58" s="12" t="s">
        <v>108</v>
      </c>
    </row>
    <row r="59" spans="1:8" s="10" customFormat="1" ht="6" customHeight="1" x14ac:dyDescent="0.25"/>
    <row r="60" spans="1:8" s="10" customFormat="1" ht="15" x14ac:dyDescent="0.25">
      <c r="A60" s="10" t="s">
        <v>109</v>
      </c>
    </row>
    <row r="61" spans="1:8" s="10" customFormat="1" ht="6.6" customHeight="1" x14ac:dyDescent="0.25"/>
    <row r="62" spans="1:8" s="10" customFormat="1" ht="18.600000000000001" customHeight="1" x14ac:dyDescent="0.25">
      <c r="A62" s="117" t="s">
        <v>110</v>
      </c>
      <c r="B62" s="116"/>
      <c r="C62" s="70" t="e">
        <f>B56</f>
        <v>#DIV/0!</v>
      </c>
      <c r="D62" s="64" t="s">
        <v>9</v>
      </c>
    </row>
    <row r="63" spans="1:8" s="10" customFormat="1" ht="15" x14ac:dyDescent="0.25"/>
    <row r="64" spans="1:8" s="10" customFormat="1" ht="15.6" x14ac:dyDescent="0.3">
      <c r="A64" s="81" t="s">
        <v>111</v>
      </c>
      <c r="B64" s="70" t="e">
        <f>540*C62</f>
        <v>#DIV/0!</v>
      </c>
      <c r="C64" s="64" t="s">
        <v>3</v>
      </c>
    </row>
    <row r="65" spans="1:17" s="10" customFormat="1" ht="15" x14ac:dyDescent="0.25"/>
    <row r="66" spans="1:17" s="10" customFormat="1" ht="15.6" x14ac:dyDescent="0.3">
      <c r="A66" s="12" t="s">
        <v>17</v>
      </c>
      <c r="E66" s="16"/>
    </row>
    <row r="67" spans="1:17" s="10" customFormat="1" ht="6.6" customHeight="1" x14ac:dyDescent="0.3">
      <c r="A67" s="12"/>
      <c r="E67" s="16"/>
    </row>
    <row r="68" spans="1:17" s="10" customFormat="1" ht="17.399999999999999" x14ac:dyDescent="0.25">
      <c r="A68" s="84" t="s">
        <v>112</v>
      </c>
      <c r="B68" s="85" t="str">
        <f>IF(C53="","",IF(AND(E43="",E53=""),B14,"Design Criteria Not Met"))</f>
        <v/>
      </c>
      <c r="C68" s="64" t="s">
        <v>19</v>
      </c>
      <c r="D68" s="13"/>
      <c r="E68" s="84"/>
      <c r="K68" s="14"/>
      <c r="L68" s="15"/>
      <c r="M68" s="15"/>
      <c r="N68" s="15"/>
      <c r="O68" s="16"/>
      <c r="P68" s="16"/>
      <c r="Q68" s="16"/>
    </row>
    <row r="69" spans="1:17" ht="26.4" x14ac:dyDescent="0.3">
      <c r="A69" s="66" t="s">
        <v>36</v>
      </c>
      <c r="B69" s="86"/>
      <c r="C69" s="10"/>
    </row>
    <row r="70" spans="1:17" s="10" customFormat="1" ht="15" x14ac:dyDescent="0.25"/>
  </sheetData>
  <sheetProtection password="DFF6" sheet="1" objects="1" scenarios="1"/>
  <mergeCells count="17">
    <mergeCell ref="A9:B9"/>
    <mergeCell ref="B2:M2"/>
    <mergeCell ref="A32:B32"/>
    <mergeCell ref="A33:B33"/>
    <mergeCell ref="A20:B20"/>
    <mergeCell ref="A21:B21"/>
    <mergeCell ref="A22:B22"/>
    <mergeCell ref="A31:B31"/>
    <mergeCell ref="A23:B23"/>
    <mergeCell ref="A62:B62"/>
    <mergeCell ref="A52:B52"/>
    <mergeCell ref="A53:B53"/>
    <mergeCell ref="A54:B54"/>
    <mergeCell ref="A41:B41"/>
    <mergeCell ref="A42:B42"/>
    <mergeCell ref="A43:B43"/>
    <mergeCell ref="A44:B44"/>
  </mergeCells>
  <dataValidations count="1">
    <dataValidation type="list" allowBlank="1" showInputMessage="1" showErrorMessage="1" sqref="C9">
      <formula1>$C$10:$C$11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workbookViewId="0"/>
  </sheetViews>
  <sheetFormatPr defaultColWidth="9.109375" defaultRowHeight="15" x14ac:dyDescent="0.25"/>
  <cols>
    <col min="1" max="1" width="33.5546875" style="10" customWidth="1"/>
    <col min="2" max="2" width="15.109375" style="10" customWidth="1"/>
    <col min="3" max="3" width="9.6640625" style="10" bestFit="1" customWidth="1"/>
    <col min="4" max="4" width="7.77734375" style="10" customWidth="1"/>
    <col min="5" max="5" width="13.109375" style="10" customWidth="1"/>
    <col min="6" max="7" width="7.77734375" style="10" customWidth="1"/>
    <col min="8" max="8" width="13.109375" style="10" customWidth="1"/>
    <col min="9" max="10" width="7.77734375" style="10" customWidth="1"/>
    <col min="11" max="11" width="13.109375" style="10" customWidth="1"/>
    <col min="12" max="13" width="7.77734375" style="10" customWidth="1"/>
    <col min="14" max="14" width="14.33203125" style="10" customWidth="1"/>
    <col min="15" max="15" width="14" style="10" customWidth="1"/>
    <col min="16" max="16384" width="9.109375" style="10"/>
  </cols>
  <sheetData>
    <row r="1" spans="1:17" ht="17.399999999999999" x14ac:dyDescent="0.3">
      <c r="A1" s="56" t="s">
        <v>40</v>
      </c>
      <c r="B1" s="31"/>
    </row>
    <row r="3" spans="1:17" ht="15.6" x14ac:dyDescent="0.3">
      <c r="A3" s="12" t="s">
        <v>17</v>
      </c>
      <c r="E3" s="16"/>
    </row>
    <row r="4" spans="1:17" ht="6.6" customHeight="1" x14ac:dyDescent="0.3">
      <c r="A4" s="12"/>
      <c r="E4" s="16"/>
    </row>
    <row r="5" spans="1:17" ht="18.600000000000001" x14ac:dyDescent="0.4">
      <c r="A5" s="13" t="s">
        <v>133</v>
      </c>
      <c r="C5" s="13"/>
      <c r="D5" s="13"/>
      <c r="E5" s="16"/>
      <c r="K5" s="14"/>
      <c r="L5" s="15"/>
      <c r="M5" s="15"/>
      <c r="N5" s="15"/>
      <c r="O5" s="16"/>
      <c r="P5" s="16"/>
      <c r="Q5" s="16"/>
    </row>
    <row r="6" spans="1:17" ht="7.8" customHeight="1" x14ac:dyDescent="0.25">
      <c r="A6" s="13"/>
      <c r="C6" s="13"/>
      <c r="D6" s="13"/>
      <c r="E6" s="16"/>
      <c r="K6" s="14"/>
      <c r="L6" s="15"/>
      <c r="M6" s="15"/>
      <c r="N6" s="15"/>
      <c r="O6" s="16"/>
      <c r="P6" s="16"/>
      <c r="Q6" s="16"/>
    </row>
    <row r="7" spans="1:17" ht="18.600000000000001" x14ac:dyDescent="0.4">
      <c r="A7" s="13" t="s">
        <v>132</v>
      </c>
      <c r="C7" s="13"/>
      <c r="D7" s="13"/>
      <c r="E7" s="16"/>
      <c r="K7" s="14"/>
      <c r="L7" s="15"/>
      <c r="M7" s="15"/>
      <c r="N7" s="15"/>
      <c r="O7" s="16"/>
      <c r="P7" s="16"/>
      <c r="Q7" s="16"/>
    </row>
    <row r="8" spans="1:17" ht="7.8" customHeight="1" x14ac:dyDescent="0.25">
      <c r="A8" s="13"/>
      <c r="C8" s="13"/>
      <c r="D8" s="13"/>
      <c r="E8" s="16"/>
      <c r="K8" s="14"/>
      <c r="L8" s="15"/>
      <c r="M8" s="15"/>
      <c r="N8" s="15"/>
      <c r="O8" s="16"/>
      <c r="P8" s="16"/>
      <c r="Q8" s="16"/>
    </row>
    <row r="9" spans="1:17" ht="18.600000000000001" customHeight="1" x14ac:dyDescent="0.3">
      <c r="A9" s="114" t="s">
        <v>131</v>
      </c>
      <c r="B9" s="114"/>
      <c r="C9" s="97"/>
      <c r="D9" s="19" t="s">
        <v>18</v>
      </c>
      <c r="F9" s="32"/>
    </row>
    <row r="10" spans="1:17" ht="17.399999999999999" x14ac:dyDescent="0.3">
      <c r="A10" s="114" t="s">
        <v>134</v>
      </c>
      <c r="B10" s="114"/>
      <c r="C10" s="97"/>
      <c r="D10" s="19" t="s">
        <v>18</v>
      </c>
      <c r="F10" s="32"/>
    </row>
    <row r="11" spans="1:17" ht="18.600000000000001" x14ac:dyDescent="0.25">
      <c r="A11" s="114" t="s">
        <v>20</v>
      </c>
      <c r="B11" s="114"/>
      <c r="C11" s="97"/>
      <c r="D11" s="64" t="s">
        <v>3</v>
      </c>
    </row>
    <row r="12" spans="1:17" ht="18.600000000000001" x14ac:dyDescent="0.25">
      <c r="A12" s="114" t="s">
        <v>21</v>
      </c>
      <c r="B12" s="114"/>
      <c r="C12" s="38">
        <v>0.25</v>
      </c>
      <c r="D12" s="64"/>
    </row>
    <row r="13" spans="1:17" ht="18.600000000000001" x14ac:dyDescent="0.25">
      <c r="A13" s="114" t="s">
        <v>22</v>
      </c>
      <c r="B13" s="114"/>
      <c r="C13" s="97"/>
      <c r="D13" s="64" t="s">
        <v>3</v>
      </c>
    </row>
    <row r="14" spans="1:17" ht="18.600000000000001" x14ac:dyDescent="0.25">
      <c r="A14" s="114" t="s">
        <v>23</v>
      </c>
      <c r="B14" s="114"/>
      <c r="C14" s="38">
        <v>0.4</v>
      </c>
      <c r="D14" s="17"/>
      <c r="E14" s="18"/>
      <c r="F14" s="18"/>
      <c r="G14" s="18"/>
    </row>
    <row r="15" spans="1:17" ht="18.600000000000001" x14ac:dyDescent="0.25">
      <c r="A15" s="114" t="s">
        <v>135</v>
      </c>
      <c r="B15" s="114"/>
      <c r="C15" s="70">
        <f>(C9+C10)/2</f>
        <v>0</v>
      </c>
      <c r="D15" s="19" t="s">
        <v>18</v>
      </c>
      <c r="E15" s="33"/>
      <c r="F15" s="33"/>
      <c r="G15" s="33"/>
      <c r="H15" s="33"/>
      <c r="I15" s="18"/>
    </row>
    <row r="16" spans="1:17" ht="18.600000000000001" x14ac:dyDescent="0.25">
      <c r="A16" s="114" t="s">
        <v>24</v>
      </c>
      <c r="B16" s="114"/>
      <c r="C16" s="97"/>
      <c r="D16" s="64" t="s">
        <v>3</v>
      </c>
    </row>
    <row r="17" spans="1:19" x14ac:dyDescent="0.25">
      <c r="A17" s="16"/>
      <c r="B17" s="16"/>
      <c r="C17" s="16"/>
      <c r="D17" s="16"/>
      <c r="E17" s="16"/>
    </row>
    <row r="18" spans="1:19" s="26" customFormat="1" ht="18" x14ac:dyDescent="0.3">
      <c r="A18" s="34" t="s">
        <v>33</v>
      </c>
      <c r="B18" s="21">
        <f>C10*((C11*C12)+(C13*C14))+(C15*C16)</f>
        <v>0</v>
      </c>
      <c r="C18" s="20" t="s">
        <v>19</v>
      </c>
      <c r="P18" s="25"/>
      <c r="Q18" s="28"/>
      <c r="R18" s="29"/>
      <c r="S18" s="30"/>
    </row>
    <row r="19" spans="1:19" ht="39.6" x14ac:dyDescent="0.25">
      <c r="B19" s="66" t="s">
        <v>36</v>
      </c>
    </row>
  </sheetData>
  <sheetProtection password="DFF6" sheet="1" objects="1" scenarios="1"/>
  <mergeCells count="8">
    <mergeCell ref="A16:B16"/>
    <mergeCell ref="A14:B14"/>
    <mergeCell ref="A15:B15"/>
    <mergeCell ref="A9:B9"/>
    <mergeCell ref="A10:B10"/>
    <mergeCell ref="A11:B11"/>
    <mergeCell ref="A12:B12"/>
    <mergeCell ref="A13:B1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 xmlns="80727368-2d85-4693-8aca-8c33fb2339f5" xsi:nil="true"/>
    <IconOverlay xmlns="http://schemas.microsoft.com/sharepoint/v4" xsi:nil="true"/>
    <SharedWithUsers xmlns="80727368-2d85-4693-8aca-8c33fb2339f5">
      <UserInfo>
        <DisplayName>Greg Hoffmann</DisplayName>
        <AccountId>28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roject Document" ma:contentTypeID="0x01010084099C5946FA6344AFBC08FDA28BB5E3000F2A5536EED47B428001DEFDF00DB8CF" ma:contentTypeVersion="15" ma:contentTypeDescription="" ma:contentTypeScope="" ma:versionID="bfb6b22dab382251b0c02c8e386de916">
  <xsd:schema xmlns:xsd="http://www.w3.org/2001/XMLSchema" xmlns:xs="http://www.w3.org/2001/XMLSchema" xmlns:p="http://schemas.microsoft.com/office/2006/metadata/properties" xmlns:ns2="80727368-2d85-4693-8aca-8c33fb2339f5" xmlns:ns3="http://schemas.microsoft.com/sharepoint/v4" xmlns:ns4="b031f331-093e-4af9-b9a8-5fb9941cd8bc" targetNamespace="http://schemas.microsoft.com/office/2006/metadata/properties" ma:root="true" ma:fieldsID="5c93f44f4009ca46a104534810bbd433" ns2:_="" ns3:_="" ns4:_="">
    <xsd:import namespace="80727368-2d85-4693-8aca-8c33fb2339f5"/>
    <xsd:import namespace="http://schemas.microsoft.com/sharepoint/v4"/>
    <xsd:import namespace="b031f331-093e-4af9-b9a8-5fb9941cd8bc"/>
    <xsd:element name="properties">
      <xsd:complexType>
        <xsd:sequence>
          <xsd:element name="documentManagement">
            <xsd:complexType>
              <xsd:all>
                <xsd:element ref="ns2:Project" minOccurs="0"/>
                <xsd:element ref="ns2:Project_x003a_Description" minOccurs="0"/>
                <xsd:element ref="ns2:SharedWithUsers" minOccurs="0"/>
                <xsd:element ref="ns3:IconOverlay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727368-2d85-4693-8aca-8c33fb2339f5" elementFormDefault="qualified">
    <xsd:import namespace="http://schemas.microsoft.com/office/2006/documentManagement/types"/>
    <xsd:import namespace="http://schemas.microsoft.com/office/infopath/2007/PartnerControls"/>
    <xsd:element name="Project" ma:index="8" nillable="true" ma:displayName="Project" ma:list="{466bfe19-0901-498c-8ba9-2a12267cbd25}" ma:internalName="Project" ma:readOnly="false" ma:showField="Title" ma:web="80727368-2d85-4693-8aca-8c33fb2339f5">
      <xsd:simpleType>
        <xsd:restriction base="dms:Lookup"/>
      </xsd:simpleType>
    </xsd:element>
    <xsd:element name="Project_x003a_Description" ma:index="9" nillable="true" ma:displayName="Project:Description" ma:list="{466bfe19-0901-498c-8ba9-2a12267cbd25}" ma:internalName="Project_x003A_Description" ma:readOnly="true" ma:showField="CategoryDescription" ma:web="80727368-2d85-4693-8aca-8c33fb2339f5">
      <xsd:simpleType>
        <xsd:restriction base="dms:Lookup"/>
      </xsd:simpleType>
    </xsd:element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4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5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31f331-093e-4af9-b9a8-5fb9941cd8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8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9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20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2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616DC5-D52A-4E8F-AAE4-108E60CDE7C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0C1195-A865-4D70-A359-4B09756BFF85}">
  <ds:schemaRefs>
    <ds:schemaRef ds:uri="http://schemas.microsoft.com/office/2006/documentManagement/types"/>
    <ds:schemaRef ds:uri="b031f331-093e-4af9-b9a8-5fb9941cd8bc"/>
    <ds:schemaRef ds:uri="http://purl.org/dc/dcmitype/"/>
    <ds:schemaRef ds:uri="80727368-2d85-4693-8aca-8c33fb2339f5"/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sharepoint/v4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9EB4A62-949F-42F2-ADB4-8472229DC5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727368-2d85-4693-8aca-8c33fb2339f5"/>
    <ds:schemaRef ds:uri="http://schemas.microsoft.com/sharepoint/v4"/>
    <ds:schemaRef ds:uri="b031f331-093e-4af9-b9a8-5fb9941cd8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Bioretention</vt:lpstr>
      <vt:lpstr>Permeable Pavement</vt:lpstr>
      <vt:lpstr>Infiltration</vt:lpstr>
      <vt:lpstr>Green Roof</vt:lpstr>
      <vt:lpstr>Disconnection-Simple</vt:lpstr>
      <vt:lpstr>Disconnection-Forest</vt:lpstr>
      <vt:lpstr>Disconnection-Filter Path</vt:lpstr>
      <vt:lpstr>Grass Channel</vt:lpstr>
      <vt:lpstr>Dry Swale</vt:lpstr>
      <vt:lpstr>RSC</vt:lpstr>
      <vt:lpstr>Filtering Systems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MRES</dc:creator>
  <cp:lastModifiedBy>Laura Gardner</cp:lastModifiedBy>
  <dcterms:created xsi:type="dcterms:W3CDTF">2013-06-23T13:40:58Z</dcterms:created>
  <dcterms:modified xsi:type="dcterms:W3CDTF">2017-12-08T01:37:16Z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0x01010084099C5946FA6344AFBC08FDA28BB5E3000F2A5536EED47B428001DEFDF00DB8CF</vt:lpwstr>
  </property>
</Properties>
</file>