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65" windowHeight="8895" tabRatio="700" activeTab="0"/>
  </bookViews>
  <sheets>
    <sheet name="Intro" sheetId="1" r:id="rId1"/>
    <sheet name="Weighted C" sheetId="2" r:id="rId2"/>
    <sheet name="Tc and PeakQ" sheetId="3" r:id="rId3"/>
    <sheet name="Design Info" sheetId="4" r:id="rId4"/>
    <sheet name="Notation" sheetId="5" r:id="rId5"/>
  </sheets>
  <definedNames>
    <definedName name="_xlnm.Print_Area" localSheetId="3">'Design Info'!$A$1:$O$75,'Design Info'!$P$1:$V$43</definedName>
    <definedName name="_xlnm.Print_Area" localSheetId="0">'Intro'!$B$2:$H$45</definedName>
    <definedName name="_xlnm.Print_Area" localSheetId="4">'Notation'!$B$1:$F$20</definedName>
    <definedName name="_xlnm.Print_Area" localSheetId="2">'Tc and PeakQ'!$A$2:$J$64</definedName>
    <definedName name="_xlnm.Print_Area" localSheetId="1">'Weighted C'!$A$2:$J$39</definedName>
  </definedNames>
  <calcPr fullCalcOnLoad="1"/>
</workbook>
</file>

<file path=xl/sharedStrings.xml><?xml version="1.0" encoding="utf-8"?>
<sst xmlns="http://schemas.openxmlformats.org/spreadsheetml/2006/main" count="309" uniqueCount="262">
  <si>
    <t xml:space="preserve"> </t>
  </si>
  <si>
    <t>Subarea</t>
  </si>
  <si>
    <t>Runoff</t>
  </si>
  <si>
    <t>ID</t>
  </si>
  <si>
    <t>Area</t>
  </si>
  <si>
    <t>acres</t>
  </si>
  <si>
    <t>Coeff</t>
  </si>
  <si>
    <t>Sum</t>
  </si>
  <si>
    <t>A</t>
  </si>
  <si>
    <t>Product</t>
  </si>
  <si>
    <t>CA</t>
  </si>
  <si>
    <t>input</t>
  </si>
  <si>
    <t>Flow</t>
  </si>
  <si>
    <t>Slope</t>
  </si>
  <si>
    <t>Overland</t>
  </si>
  <si>
    <t>Length</t>
  </si>
  <si>
    <t xml:space="preserve">L </t>
  </si>
  <si>
    <t xml:space="preserve">S </t>
  </si>
  <si>
    <t>Time</t>
  </si>
  <si>
    <t>ft/ft</t>
  </si>
  <si>
    <t>ft</t>
  </si>
  <si>
    <t>minutes</t>
  </si>
  <si>
    <t>output</t>
  </si>
  <si>
    <t>Conveyance</t>
  </si>
  <si>
    <t>Analysis of Flow Time (Time of Concentration) for a Catchment</t>
  </si>
  <si>
    <t>Heavy</t>
  </si>
  <si>
    <t>Meadow</t>
  </si>
  <si>
    <t>Short</t>
  </si>
  <si>
    <t>Bare</t>
  </si>
  <si>
    <t>Convey-</t>
  </si>
  <si>
    <t>ance</t>
  </si>
  <si>
    <t>Velocity</t>
  </si>
  <si>
    <t>fps</t>
  </si>
  <si>
    <t>Regional Tc =</t>
  </si>
  <si>
    <t xml:space="preserve">5-yr </t>
  </si>
  <si>
    <t>C-5</t>
  </si>
  <si>
    <t>II.</t>
  </si>
  <si>
    <t>I.</t>
  </si>
  <si>
    <t>C1 =</t>
  </si>
  <si>
    <t>C2=</t>
  </si>
  <si>
    <t>C3=</t>
  </si>
  <si>
    <t>P1=</t>
  </si>
  <si>
    <t>inches</t>
  </si>
  <si>
    <t>Rainfall Information   I (inch/hr) = C1 * P1 /(C2 + Td)^C3</t>
  </si>
  <si>
    <t>(input the value of C1)</t>
  </si>
  <si>
    <t>(input the value of C2)</t>
  </si>
  <si>
    <t>(input the value of C3)</t>
  </si>
  <si>
    <t>Catchment Hydrologic Data</t>
  </si>
  <si>
    <t>III.</t>
  </si>
  <si>
    <t>IV.</t>
  </si>
  <si>
    <t>I =</t>
  </si>
  <si>
    <t>inch/hr</t>
  </si>
  <si>
    <t>Qp =</t>
  </si>
  <si>
    <t>cfs</t>
  </si>
  <si>
    <t>Tr =</t>
  </si>
  <si>
    <t>Field</t>
  </si>
  <si>
    <t>5-yr</t>
  </si>
  <si>
    <t>10-yr</t>
  </si>
  <si>
    <t>50-yr</t>
  </si>
  <si>
    <t>100-yr</t>
  </si>
  <si>
    <t xml:space="preserve">Illustration </t>
  </si>
  <si>
    <t>Illustration</t>
  </si>
  <si>
    <t>Calculations:</t>
  </si>
  <si>
    <t>Urban Drainage and Flood Control District</t>
  </si>
  <si>
    <t>Denver, Colorado</t>
  </si>
  <si>
    <t>Weighted C</t>
  </si>
  <si>
    <t>A =</t>
  </si>
  <si>
    <t>watershed area in acres</t>
  </si>
  <si>
    <t>C =</t>
  </si>
  <si>
    <t>C1, C2, and C3 =</t>
  </si>
  <si>
    <t>ID =</t>
  </si>
  <si>
    <t>user defined identification number</t>
  </si>
  <si>
    <t>P1 =</t>
  </si>
  <si>
    <t>one hour precipitation value in inches</t>
  </si>
  <si>
    <t>return period in years</t>
  </si>
  <si>
    <t>peak runoff rate in cfs</t>
  </si>
  <si>
    <t>Td =</t>
  </si>
  <si>
    <t>design rainfall duration in minutes</t>
  </si>
  <si>
    <t>Tc =</t>
  </si>
  <si>
    <t>L =</t>
  </si>
  <si>
    <t>S =</t>
  </si>
  <si>
    <t>slope for flow length in ft/ft</t>
  </si>
  <si>
    <t>flow length in ft</t>
  </si>
  <si>
    <t xml:space="preserve">V </t>
  </si>
  <si>
    <t xml:space="preserve">Tf </t>
  </si>
  <si>
    <t>C5 =</t>
  </si>
  <si>
    <t>5-yr runoff coefficient</t>
  </si>
  <si>
    <t>V =</t>
  </si>
  <si>
    <t>Tf =</t>
  </si>
  <si>
    <t>flow time in minutes</t>
  </si>
  <si>
    <t>Reach</t>
  </si>
  <si>
    <t>II.   Recommended Runoff Coefficients for Metro Denver</t>
  </si>
  <si>
    <t>I.    One-hr Precipitation Values for Metro Denver Area</t>
  </si>
  <si>
    <t>Depth in inches</t>
  </si>
  <si>
    <t>Return period in years</t>
  </si>
  <si>
    <t>List of Variables</t>
  </si>
  <si>
    <t>Dr. James C.Y. Guo, P.E.</t>
  </si>
  <si>
    <t>Professor, Department of Civil Engineering</t>
  </si>
  <si>
    <t>University of Colorado at Denver</t>
  </si>
  <si>
    <t>Notation</t>
  </si>
  <si>
    <t>years</t>
  </si>
  <si>
    <t>3.  To calculate the design rainfall intensity and peak flow rate.</t>
  </si>
  <si>
    <t>Purpose:</t>
  </si>
  <si>
    <t>Function:</t>
  </si>
  <si>
    <t>Content:</t>
  </si>
  <si>
    <t>Calculates Tc and Q-peak.</t>
  </si>
  <si>
    <t>Provides the recommended runoff C's for various land uses.</t>
  </si>
  <si>
    <t xml:space="preserve">Defines the variables used. </t>
  </si>
  <si>
    <t>Design Info</t>
  </si>
  <si>
    <t>1.  To apply the area-weighting method to calculate the representative</t>
  </si>
  <si>
    <t>Sum:</t>
  </si>
  <si>
    <t>Area-Weighting for Runoff Coefficient Calculation</t>
  </si>
  <si>
    <t>Catchment ID =</t>
  </si>
  <si>
    <t>Peak Flowrate, Qp =</t>
  </si>
  <si>
    <t>CALCULATION OF A PEAK RUNOFF USING RATIONAL METHOD</t>
  </si>
  <si>
    <t xml:space="preserve"> i.e., typically less than 90 acres.</t>
  </si>
  <si>
    <t xml:space="preserve">2.  To calculate the time of concentration, and then compare with </t>
  </si>
  <si>
    <t xml:space="preserve">      use with the Rational Method.</t>
  </si>
  <si>
    <t xml:space="preserve">      The smaller one is recommended as the rainfall duration for </t>
  </si>
  <si>
    <t>Intro</t>
  </si>
  <si>
    <t>runoff coefficient</t>
  </si>
  <si>
    <t>coefficients in IDF formula</t>
  </si>
  <si>
    <t>Acknowledgements:</t>
  </si>
  <si>
    <t>Spreadsheet Development Team:</t>
  </si>
  <si>
    <t>Wright Water Engineers, Inc.</t>
  </si>
  <si>
    <t>Comments?</t>
  </si>
  <si>
    <t>Tc and PeakQ</t>
  </si>
  <si>
    <t>This workbook applies the Rational Method to estimate stormwater</t>
  </si>
  <si>
    <t>runoff and peak flows from small urban catchments,</t>
  </si>
  <si>
    <t>The workbook consists of the following five sheets:</t>
  </si>
  <si>
    <t>Describes the purpose of each sheet in the workbook.</t>
  </si>
  <si>
    <t>Applies the area-weighting method to determine the runoff C.</t>
  </si>
  <si>
    <t>Project Title:</t>
  </si>
  <si>
    <t>Catchment  ID:</t>
  </si>
  <si>
    <t>Instructions:  For each catchment subarea, enter values for A and C.</t>
  </si>
  <si>
    <t>Area-Weighted Runoff Coefficient (sum CA/sum A) =</t>
  </si>
  <si>
    <t>Catchment ID:</t>
  </si>
  <si>
    <t>(input one-hr precipitation--see Sheet "Design Info")</t>
  </si>
  <si>
    <t>rainfall intensity in inches/hour</t>
  </si>
  <si>
    <t>time of concentration in minutes</t>
  </si>
  <si>
    <t>Percent Imperviousness =</t>
  </si>
  <si>
    <t>Acres</t>
  </si>
  <si>
    <t>%</t>
  </si>
  <si>
    <t>NRCS Soil Type =</t>
  </si>
  <si>
    <t>A, B, C, or D</t>
  </si>
  <si>
    <t>Area =</t>
  </si>
  <si>
    <t>Runoff Coefficient, C =</t>
  </si>
  <si>
    <t>Land Use  or Surface Characteristics</t>
  </si>
  <si>
    <t>Percent Imper-viousness</t>
  </si>
  <si>
    <t xml:space="preserve"> Business:</t>
  </si>
  <si>
    <t xml:space="preserve">     Commercial areas</t>
  </si>
  <si>
    <t xml:space="preserve">     Neighborhood areas</t>
  </si>
  <si>
    <t>Residential:</t>
  </si>
  <si>
    <t xml:space="preserve">     Single-family</t>
  </si>
  <si>
    <t>*</t>
  </si>
  <si>
    <t xml:space="preserve">     Multiunit (detached)</t>
  </si>
  <si>
    <t xml:space="preserve">     Multiunit (attached)</t>
  </si>
  <si>
    <t xml:space="preserve">     Half-acre lot or larger</t>
  </si>
  <si>
    <t xml:space="preserve">     Apartments</t>
  </si>
  <si>
    <t>Industrial:</t>
  </si>
  <si>
    <t xml:space="preserve">     Light areas</t>
  </si>
  <si>
    <t xml:space="preserve">     Heavy areas</t>
  </si>
  <si>
    <t>Parks, cemeteries:</t>
  </si>
  <si>
    <t>Playgrounds:</t>
  </si>
  <si>
    <t>Schools:</t>
  </si>
  <si>
    <t>Railroad yard areas:</t>
  </si>
  <si>
    <t>Undeveloped areas:</t>
  </si>
  <si>
    <t xml:space="preserve">     Historical Flow Analysis</t>
  </si>
  <si>
    <t xml:space="preserve">     Greenbelts, agricultural</t>
  </si>
  <si>
    <t xml:space="preserve">     Off-site flow analysis</t>
  </si>
  <si>
    <t xml:space="preserve">     (when land use not defined)</t>
  </si>
  <si>
    <t>Streets:</t>
  </si>
  <si>
    <t xml:space="preserve">     Paved</t>
  </si>
  <si>
    <t xml:space="preserve">     Gravel (packed)</t>
  </si>
  <si>
    <t>Driveways and sidewalks:</t>
  </si>
  <si>
    <t>Roofs:</t>
  </si>
  <si>
    <t xml:space="preserve">     Lawns, sandy soil</t>
  </si>
  <si>
    <t xml:space="preserve">     Lawns, clayey soil</t>
  </si>
  <si>
    <t xml:space="preserve">Runoff Coefficient vs. Watershed Imperviousness </t>
  </si>
  <si>
    <t>Based on Runoff Coefficient estimating equation published by Urbonas, et.al. (1990) &amp; WEF (1998)</t>
  </si>
  <si>
    <t xml:space="preserve">Basic equation for NRCS Soil Types C &amp; D: </t>
  </si>
  <si>
    <t xml:space="preserve">Basic equation for NRCS Soil Type A: </t>
  </si>
  <si>
    <t>in which:</t>
  </si>
  <si>
    <t>NRCS</t>
  </si>
  <si>
    <t>Storm Return Period</t>
  </si>
  <si>
    <t>Soil Types</t>
  </si>
  <si>
    <t>2-yr</t>
  </si>
  <si>
    <t>25-yr</t>
  </si>
  <si>
    <t>C &amp; D</t>
  </si>
  <si>
    <t>Imperv.</t>
  </si>
  <si>
    <t>When the Runoff Coefficient in above table is &lt; 0, use 0.</t>
  </si>
  <si>
    <t>When compositing the Runoff Coefficient for different soil types, use  the table values above regardless if they are &lt; 0.</t>
  </si>
  <si>
    <r>
      <t>C</t>
    </r>
    <r>
      <rPr>
        <b/>
        <i/>
        <vertAlign val="subscript"/>
        <sz val="12"/>
        <color indexed="8"/>
        <rFont val="Times New Roman"/>
        <family val="1"/>
      </rPr>
      <t>CD</t>
    </r>
    <r>
      <rPr>
        <b/>
        <i/>
        <sz val="12"/>
        <color indexed="8"/>
        <rFont val="Times New Roman"/>
        <family val="1"/>
      </rPr>
      <t xml:space="preserve"> = K</t>
    </r>
    <r>
      <rPr>
        <b/>
        <i/>
        <vertAlign val="subscript"/>
        <sz val="12"/>
        <color indexed="8"/>
        <rFont val="Times New Roman"/>
        <family val="1"/>
      </rPr>
      <t>CD</t>
    </r>
    <r>
      <rPr>
        <b/>
        <i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Times New Roman"/>
        <family val="1"/>
      </rPr>
      <t>(0.858</t>
    </r>
    <r>
      <rPr>
        <b/>
        <i/>
        <sz val="12"/>
        <color indexed="8"/>
        <rFont val="Times New Roman"/>
        <family val="1"/>
      </rPr>
      <t>*i</t>
    </r>
    <r>
      <rPr>
        <b/>
        <i/>
        <vertAlign val="superscript"/>
        <sz val="12"/>
        <color indexed="8"/>
        <rFont val="Times New Roman"/>
        <family val="1"/>
      </rPr>
      <t>3</t>
    </r>
    <r>
      <rPr>
        <b/>
        <i/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0.786</t>
    </r>
    <r>
      <rPr>
        <b/>
        <i/>
        <sz val="12"/>
        <color indexed="8"/>
        <rFont val="Times New Roman"/>
        <family val="1"/>
      </rPr>
      <t>*i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Times New Roman"/>
        <family val="1"/>
      </rPr>
      <t>0.774</t>
    </r>
    <r>
      <rPr>
        <b/>
        <i/>
        <sz val="12"/>
        <color indexed="8"/>
        <rFont val="Times New Roman"/>
        <family val="1"/>
      </rPr>
      <t xml:space="preserve">*i + </t>
    </r>
    <r>
      <rPr>
        <b/>
        <sz val="12"/>
        <color indexed="8"/>
        <rFont val="Times New Roman"/>
        <family val="1"/>
      </rPr>
      <t xml:space="preserve">0.04) </t>
    </r>
  </si>
  <si>
    <r>
      <t>C</t>
    </r>
    <r>
      <rPr>
        <b/>
        <i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= </t>
    </r>
    <r>
      <rPr>
        <b/>
        <i/>
        <sz val="12"/>
        <color indexed="8"/>
        <rFont val="Times New Roman"/>
        <family val="1"/>
      </rPr>
      <t>K</t>
    </r>
    <r>
      <rPr>
        <b/>
        <i/>
        <vertAlign val="subscript"/>
        <sz val="12"/>
        <color indexed="8"/>
        <rFont val="Times New Roman"/>
        <family val="1"/>
      </rPr>
      <t>A</t>
    </r>
    <r>
      <rPr>
        <b/>
        <i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Times New Roman"/>
        <family val="1"/>
      </rPr>
      <t>(1.31</t>
    </r>
    <r>
      <rPr>
        <b/>
        <i/>
        <sz val="12"/>
        <color indexed="8"/>
        <rFont val="Times New Roman"/>
        <family val="1"/>
      </rPr>
      <t>*i</t>
    </r>
    <r>
      <rPr>
        <b/>
        <i/>
        <vertAlign val="superscript"/>
        <sz val="12"/>
        <color indexed="8"/>
        <rFont val="Times New Roman"/>
        <family val="1"/>
      </rPr>
      <t>3</t>
    </r>
    <r>
      <rPr>
        <b/>
        <i/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1.44</t>
    </r>
    <r>
      <rPr>
        <b/>
        <i/>
        <sz val="12"/>
        <color indexed="8"/>
        <rFont val="Times New Roman"/>
        <family val="1"/>
      </rPr>
      <t>*i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 xml:space="preserve"> +</t>
    </r>
    <r>
      <rPr>
        <b/>
        <sz val="12"/>
        <color indexed="8"/>
        <rFont val="Times New Roman"/>
        <family val="1"/>
      </rPr>
      <t xml:space="preserve"> 1.135</t>
    </r>
    <r>
      <rPr>
        <b/>
        <i/>
        <sz val="12"/>
        <color indexed="8"/>
        <rFont val="Times New Roman"/>
        <family val="1"/>
      </rPr>
      <t xml:space="preserve">*i - </t>
    </r>
    <r>
      <rPr>
        <b/>
        <sz val="12"/>
        <color indexed="8"/>
        <rFont val="Times New Roman"/>
        <family val="1"/>
      </rPr>
      <t xml:space="preserve">0.12)   in which use values for </t>
    </r>
    <r>
      <rPr>
        <b/>
        <i/>
        <sz val="12"/>
        <color indexed="8"/>
        <rFont val="Times New Roman"/>
        <family val="1"/>
      </rPr>
      <t>C</t>
    </r>
    <r>
      <rPr>
        <b/>
        <i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&gt; 0</t>
    </r>
  </si>
  <si>
    <r>
      <t xml:space="preserve"> i    =  I</t>
    </r>
    <r>
      <rPr>
        <i/>
        <vertAlign val="subscript"/>
        <sz val="12"/>
        <rFont val="Times New Roman"/>
        <family val="1"/>
      </rPr>
      <t>a</t>
    </r>
    <r>
      <rPr>
        <sz val="12"/>
        <rFont val="Arial"/>
        <family val="0"/>
      </rPr>
      <t>/100, imperviousness ratio</t>
    </r>
  </si>
  <si>
    <r>
      <t>I</t>
    </r>
    <r>
      <rPr>
        <i/>
        <vertAlign val="subscript"/>
        <sz val="12"/>
        <rFont val="Times New Roman"/>
        <family val="1"/>
      </rPr>
      <t xml:space="preserve">a   </t>
    </r>
    <r>
      <rPr>
        <sz val="12"/>
        <rFont val="Arial"/>
        <family val="0"/>
      </rPr>
      <t>= watershed imperviousness in percent</t>
    </r>
  </si>
  <si>
    <r>
      <t>C</t>
    </r>
    <r>
      <rPr>
        <i/>
        <vertAlign val="subscript"/>
        <sz val="12"/>
        <rFont val="Times New Roman"/>
        <family val="1"/>
      </rPr>
      <t>A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Runoff Coefficient for NRCS Soil Type A</t>
    </r>
  </si>
  <si>
    <r>
      <t>K</t>
    </r>
    <r>
      <rPr>
        <i/>
        <vertAlign val="subscript"/>
        <sz val="12"/>
        <color indexed="8"/>
        <rFont val="Times New Roman"/>
        <family val="1"/>
      </rPr>
      <t>A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= Correction factor for </t>
    </r>
    <r>
      <rPr>
        <i/>
        <sz val="12"/>
        <color indexed="8"/>
        <rFont val="Times New Roman"/>
        <family val="1"/>
      </rPr>
      <t>C</t>
    </r>
    <r>
      <rPr>
        <i/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when the storm return period is greater than 2-years </t>
    </r>
  </si>
  <si>
    <r>
      <t>C</t>
    </r>
    <r>
      <rPr>
        <i/>
        <vertAlign val="subscript"/>
        <sz val="12"/>
        <rFont val="Times New Roman"/>
        <family val="1"/>
      </rPr>
      <t>CD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Runoff Coefficient for NRCS Soil Types C and D</t>
    </r>
  </si>
  <si>
    <r>
      <t>K</t>
    </r>
    <r>
      <rPr>
        <i/>
        <vertAlign val="subscript"/>
        <sz val="12"/>
        <color indexed="8"/>
        <rFont val="Times New Roman"/>
        <family val="1"/>
      </rPr>
      <t>CD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= Correction factor for </t>
    </r>
    <r>
      <rPr>
        <i/>
        <sz val="12"/>
        <color indexed="8"/>
        <rFont val="Times New Roman"/>
        <family val="1"/>
      </rPr>
      <t>C</t>
    </r>
    <r>
      <rPr>
        <i/>
        <vertAlign val="subscript"/>
        <sz val="12"/>
        <color indexed="8"/>
        <rFont val="Times New Roman"/>
        <family val="1"/>
      </rPr>
      <t>CD</t>
    </r>
    <r>
      <rPr>
        <sz val="12"/>
        <color indexed="8"/>
        <rFont val="Times New Roman"/>
        <family val="1"/>
      </rPr>
      <t xml:space="preserve"> when the storm return period is greater than 2-years </t>
    </r>
  </si>
  <si>
    <r>
      <t xml:space="preserve">Values of Correction Factors  </t>
    </r>
    <r>
      <rPr>
        <b/>
        <i/>
        <sz val="12"/>
        <rFont val="Times New Roman"/>
        <family val="1"/>
      </rPr>
      <t>K</t>
    </r>
    <r>
      <rPr>
        <b/>
        <i/>
        <vertAlign val="subscript"/>
        <sz val="12"/>
        <rFont val="Times New Roman"/>
        <family val="1"/>
      </rPr>
      <t xml:space="preserve">CD &amp; </t>
    </r>
    <r>
      <rPr>
        <b/>
        <i/>
        <sz val="12"/>
        <rFont val="Times New Roman"/>
        <family val="1"/>
      </rPr>
      <t>K</t>
    </r>
    <r>
      <rPr>
        <b/>
        <i/>
        <vertAlign val="subscript"/>
        <sz val="12"/>
        <rFont val="Times New Roman"/>
        <family val="1"/>
      </rPr>
      <t>A</t>
    </r>
  </si>
  <si>
    <r>
      <t>[-0.10*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+0.11]</t>
    </r>
  </si>
  <si>
    <r>
      <t>[-0.18*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+0.21]</t>
    </r>
  </si>
  <si>
    <r>
      <t>[-0.28*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+0.33]</t>
    </r>
  </si>
  <si>
    <r>
      <t>[-0.33*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+0.40]</t>
    </r>
  </si>
  <si>
    <r>
      <t>[-0.39*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+0.46]</t>
    </r>
  </si>
  <si>
    <r>
      <t>[-0.08*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+0.09]</t>
    </r>
  </si>
  <si>
    <r>
      <t>[-0.14*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+0.17]</t>
    </r>
  </si>
  <si>
    <r>
      <t>[-0.19*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+0.24]</t>
    </r>
  </si>
  <si>
    <r>
      <t>[-0.22*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+0.28]</t>
    </r>
  </si>
  <si>
    <r>
      <t>[-0.25*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+0.32]</t>
    </r>
  </si>
  <si>
    <r>
      <t xml:space="preserve">Values of Runoff Coefficient </t>
    </r>
    <r>
      <rPr>
        <b/>
        <i/>
        <sz val="12"/>
        <rFont val="Times New Roman"/>
        <family val="1"/>
      </rPr>
      <t>C</t>
    </r>
    <r>
      <rPr>
        <b/>
        <i/>
        <vertAlign val="subscript"/>
        <sz val="12"/>
        <rFont val="Times New Roman"/>
        <family val="1"/>
      </rPr>
      <t>CD</t>
    </r>
  </si>
  <si>
    <r>
      <t xml:space="preserve">Values of Runoff Coefficient </t>
    </r>
    <r>
      <rPr>
        <b/>
        <i/>
        <sz val="12"/>
        <rFont val="Times New Roman"/>
        <family val="1"/>
      </rPr>
      <t>C</t>
    </r>
    <r>
      <rPr>
        <b/>
        <i/>
        <vertAlign val="subscript"/>
        <sz val="12"/>
        <rFont val="Times New Roman"/>
        <family val="1"/>
      </rPr>
      <t>A</t>
    </r>
  </si>
  <si>
    <r>
      <t xml:space="preserve">Type </t>
    </r>
    <r>
      <rPr>
        <b/>
        <i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and </t>
    </r>
    <r>
      <rPr>
        <b/>
        <i/>
        <sz val="12"/>
        <color indexed="8"/>
        <rFont val="Times New Roman"/>
        <family val="1"/>
      </rPr>
      <t>D</t>
    </r>
    <r>
      <rPr>
        <sz val="12"/>
        <color indexed="8"/>
        <rFont val="Times New Roman"/>
        <family val="1"/>
      </rPr>
      <t xml:space="preserve"> NRCS Hydrologic Soil Groups</t>
    </r>
  </si>
  <si>
    <r>
      <t xml:space="preserve">Type </t>
    </r>
    <r>
      <rPr>
        <b/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NRCS Hydrologic Soils Group</t>
    </r>
  </si>
  <si>
    <r>
      <t>Ratio (</t>
    </r>
    <r>
      <rPr>
        <b/>
        <i/>
        <sz val="12"/>
        <rFont val="Times New Roman"/>
        <family val="1"/>
      </rPr>
      <t xml:space="preserve"> i</t>
    </r>
    <r>
      <rPr>
        <sz val="12"/>
        <rFont val="Times New Roman"/>
        <family val="1"/>
      </rPr>
      <t>)</t>
    </r>
  </si>
  <si>
    <r>
      <t xml:space="preserve">Notes:  </t>
    </r>
    <r>
      <rPr>
        <sz val="12"/>
        <rFont val="Times New Roman"/>
        <family val="1"/>
      </rPr>
      <t xml:space="preserve"> </t>
    </r>
  </si>
  <si>
    <r>
      <t xml:space="preserve">For Type B Soils, use the average of coefficients </t>
    </r>
    <r>
      <rPr>
        <b/>
        <i/>
        <sz val="12"/>
        <rFont val="Times New Roman"/>
        <family val="1"/>
      </rPr>
      <t>C</t>
    </r>
    <r>
      <rPr>
        <b/>
        <i/>
        <vertAlign val="subscript"/>
        <sz val="12"/>
        <rFont val="Times New Roman"/>
        <family val="1"/>
      </rPr>
      <t>CD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. </t>
    </r>
  </si>
  <si>
    <t xml:space="preserve"> C*</t>
  </si>
  <si>
    <t>Coeff.</t>
  </si>
  <si>
    <t>PEAK RUNOFF PREDICTION BY THE RATIONAL METHOD</t>
  </si>
  <si>
    <t>Overide Runoff Coefficient, C =</t>
  </si>
  <si>
    <t>(enter an overide C value if desired, or leave blank to accept calculated C.)</t>
  </si>
  <si>
    <t>Design Storm Return Period, Tr =</t>
  </si>
  <si>
    <t>(input return period for design storm)</t>
  </si>
  <si>
    <t>Overide 5-yr. Runoff Coefficient, C =</t>
  </si>
  <si>
    <t>(enter an overide C-5 value if desired, or leave blank to accept calculated C-5.)</t>
  </si>
  <si>
    <t>5-yr. Runoff Coefficient, C-5 =</t>
  </si>
  <si>
    <t>Revisions?</t>
  </si>
  <si>
    <t>Downloads</t>
  </si>
  <si>
    <t xml:space="preserve">      the empirical time of concentration limit used for the Denver region.  </t>
  </si>
  <si>
    <t xml:space="preserve">      runoff coefficient C for a catchment.</t>
  </si>
  <si>
    <t>Direct all comments regarding this spreadsheet workbook to:</t>
  </si>
  <si>
    <t>UDFCD E-Mail</t>
  </si>
  <si>
    <t>*See sheet "Design Info" for inperviousness-based runoff coefficient values.</t>
  </si>
  <si>
    <t xml:space="preserve">*Refer to Figures RO-3 through RO-5 in Runoff Chapter </t>
  </si>
  <si>
    <t>of USDCM.</t>
  </si>
  <si>
    <t>flow velocity in ft/second</t>
  </si>
  <si>
    <t>Ground</t>
  </si>
  <si>
    <t>Paved Areas &amp;</t>
  </si>
  <si>
    <t>Shallow Paved Swales</t>
  </si>
  <si>
    <t>Tillage/</t>
  </si>
  <si>
    <t>Pasture/</t>
  </si>
  <si>
    <t>Lawns</t>
  </si>
  <si>
    <t>Nearly</t>
  </si>
  <si>
    <t>Grassed</t>
  </si>
  <si>
    <t>Swales/</t>
  </si>
  <si>
    <t>Waterways</t>
  </si>
  <si>
    <t>(Sheet Flow)</t>
  </si>
  <si>
    <t>Type</t>
  </si>
  <si>
    <t>NRCS Land</t>
  </si>
  <si>
    <t>Check for revised versions of this or any other workbook at:</t>
  </si>
  <si>
    <t>User-Entered Tc =</t>
  </si>
  <si>
    <t>N/A</t>
  </si>
  <si>
    <t>Calculated values for Tc &amp; Qp are based on overide values entered for C &amp; C-5.</t>
  </si>
  <si>
    <t>Peak Runoff Prediction</t>
  </si>
  <si>
    <r>
      <t>Computed T</t>
    </r>
    <r>
      <rPr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</si>
  <si>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Rainfall Intensity at Computed T</t>
    </r>
    <r>
      <rPr>
        <sz val="10"/>
        <rFont val="Arial"/>
        <family val="2"/>
      </rPr>
      <t>c</t>
    </r>
    <r>
      <rPr>
        <sz val="10"/>
        <rFont val="Arial"/>
        <family val="0"/>
      </rPr>
      <t>, I =</t>
    </r>
  </si>
  <si>
    <r>
      <t>Rainfall Intensity at Regional T</t>
    </r>
    <r>
      <rPr>
        <sz val="10"/>
        <rFont val="Arial"/>
        <family val="2"/>
      </rPr>
      <t>c</t>
    </r>
    <r>
      <rPr>
        <sz val="10"/>
        <rFont val="Arial"/>
        <family val="0"/>
      </rPr>
      <t>, I =</t>
    </r>
  </si>
  <si>
    <r>
      <t>Rainfall Intensity at User-Defined T</t>
    </r>
    <r>
      <rPr>
        <sz val="10"/>
        <rFont val="Arial"/>
        <family val="2"/>
      </rPr>
      <t>c</t>
    </r>
    <r>
      <rPr>
        <sz val="10"/>
        <rFont val="Arial"/>
        <family val="0"/>
      </rPr>
      <t>, I =</t>
    </r>
  </si>
  <si>
    <t>Version 1.02a, Released August 2005</t>
  </si>
  <si>
    <t>Ken A. MacKenzie, P.E.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</si>
</sst>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_)"/>
    <numFmt numFmtId="167" formatCode="0.00_)"/>
    <numFmt numFmtId="168" formatCode="0.0000_)"/>
    <numFmt numFmtId="169" formatCode="0.0"/>
    <numFmt numFmtId="170" formatCode="0.000000"/>
    <numFmt numFmtId="171" formatCode="&quot;$&quot;#,##0.00"/>
    <numFmt numFmtId="172" formatCode="#,##0.0000"/>
    <numFmt numFmtId="173" formatCode="#,##0.00000"/>
    <numFmt numFmtId="174" formatCode="0.00000000000000"/>
    <numFmt numFmtId="175" formatCode="mmmm\ d\,\ yyyy"/>
    <numFmt numFmtId="176" formatCode="#,##0.0"/>
    <numFmt numFmtId="177" formatCode="0.00000"/>
    <numFmt numFmtId="178" formatCode="#,##0.000"/>
    <numFmt numFmtId="179" formatCode="00000"/>
    <numFmt numFmtId="180" formatCode="#,##0.0000000"/>
    <numFmt numFmtId="181" formatCode="#,##0.000000"/>
    <numFmt numFmtId="182" formatCode="#,##0.00000000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i/>
      <vertAlign val="sub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i/>
      <vertAlign val="subscript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.75"/>
      <name val="Arial"/>
      <family val="0"/>
    </font>
    <font>
      <b/>
      <sz val="14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1" fillId="3" borderId="2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2" fontId="0" fillId="2" borderId="3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  <xf numFmtId="165" fontId="0" fillId="2" borderId="3" xfId="0" applyNumberFormat="1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 horizontal="right"/>
      <protection hidden="1"/>
    </xf>
    <xf numFmtId="2" fontId="0" fillId="4" borderId="1" xfId="0" applyNumberFormat="1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/>
      <protection locked="0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12" fillId="4" borderId="0" xfId="2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 applyProtection="1">
      <alignment horizontal="left"/>
      <protection hidden="1"/>
    </xf>
    <xf numFmtId="0" fontId="0" fillId="5" borderId="0" xfId="0" applyFill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/>
      <protection hidden="1"/>
    </xf>
    <xf numFmtId="49" fontId="3" fillId="4" borderId="0" xfId="0" applyNumberFormat="1" applyFont="1" applyFill="1" applyAlignment="1" applyProtection="1">
      <alignment horizontal="left"/>
      <protection hidden="1"/>
    </xf>
    <xf numFmtId="2" fontId="1" fillId="4" borderId="1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49" fontId="0" fillId="4" borderId="0" xfId="0" applyNumberFormat="1" applyFill="1" applyAlignment="1" applyProtection="1">
      <alignment/>
      <protection hidden="1"/>
    </xf>
    <xf numFmtId="49" fontId="3" fillId="4" borderId="0" xfId="0" applyNumberFormat="1" applyFont="1" applyFill="1" applyAlignment="1" applyProtection="1">
      <alignment horizontal="center"/>
      <protection hidden="1"/>
    </xf>
    <xf numFmtId="49" fontId="4" fillId="4" borderId="0" xfId="0" applyNumberFormat="1" applyFont="1" applyFill="1" applyAlignment="1" applyProtection="1">
      <alignment horizontal="right"/>
      <protection hidden="1"/>
    </xf>
    <xf numFmtId="49" fontId="4" fillId="4" borderId="0" xfId="0" applyNumberFormat="1" applyFont="1" applyFill="1" applyAlignment="1" applyProtection="1">
      <alignment horizontal="left"/>
      <protection hidden="1"/>
    </xf>
    <xf numFmtId="49" fontId="1" fillId="4" borderId="0" xfId="0" applyNumberFormat="1" applyFont="1" applyFill="1" applyAlignment="1" applyProtection="1">
      <alignment/>
      <protection hidden="1"/>
    </xf>
    <xf numFmtId="49" fontId="0" fillId="4" borderId="0" xfId="0" applyNumberForma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/>
      <protection locked="0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14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2" fontId="1" fillId="4" borderId="1" xfId="0" applyNumberFormat="1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" fillId="4" borderId="5" xfId="0" applyFont="1" applyFill="1" applyBorder="1" applyAlignment="1">
      <alignment/>
    </xf>
    <xf numFmtId="2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14" fillId="4" borderId="0" xfId="0" applyFont="1" applyFill="1" applyAlignment="1">
      <alignment horizontal="right"/>
    </xf>
    <xf numFmtId="0" fontId="2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2" fontId="22" fillId="4" borderId="17" xfId="0" applyNumberFormat="1" applyFont="1" applyFill="1" applyBorder="1" applyAlignment="1">
      <alignment horizontal="center"/>
    </xf>
    <xf numFmtId="2" fontId="28" fillId="4" borderId="18" xfId="0" applyNumberFormat="1" applyFont="1" applyFill="1" applyBorder="1" applyAlignment="1">
      <alignment horizontal="center"/>
    </xf>
    <xf numFmtId="2" fontId="28" fillId="4" borderId="19" xfId="0" applyNumberFormat="1" applyFont="1" applyFill="1" applyBorder="1" applyAlignment="1">
      <alignment horizontal="center"/>
    </xf>
    <xf numFmtId="2" fontId="28" fillId="4" borderId="20" xfId="0" applyNumberFormat="1" applyFont="1" applyFill="1" applyBorder="1" applyAlignment="1">
      <alignment horizontal="center"/>
    </xf>
    <xf numFmtId="2" fontId="22" fillId="4" borderId="21" xfId="0" applyNumberFormat="1" applyFont="1" applyFill="1" applyBorder="1" applyAlignment="1">
      <alignment horizontal="center"/>
    </xf>
    <xf numFmtId="2" fontId="28" fillId="4" borderId="22" xfId="0" applyNumberFormat="1" applyFont="1" applyFill="1" applyBorder="1" applyAlignment="1">
      <alignment horizontal="center"/>
    </xf>
    <xf numFmtId="2" fontId="28" fillId="4" borderId="23" xfId="0" applyNumberFormat="1" applyFont="1" applyFill="1" applyBorder="1" applyAlignment="1">
      <alignment horizontal="center"/>
    </xf>
    <xf numFmtId="2" fontId="28" fillId="4" borderId="24" xfId="0" applyNumberFormat="1" applyFont="1" applyFill="1" applyBorder="1" applyAlignment="1">
      <alignment horizontal="center"/>
    </xf>
    <xf numFmtId="0" fontId="22" fillId="4" borderId="6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22" fillId="4" borderId="0" xfId="0" applyFont="1" applyFill="1" applyAlignment="1">
      <alignment/>
    </xf>
    <xf numFmtId="2" fontId="14" fillId="4" borderId="17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2" fontId="14" fillId="4" borderId="20" xfId="0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4" borderId="28" xfId="0" applyNumberFormat="1" applyFont="1" applyFill="1" applyBorder="1" applyAlignment="1">
      <alignment horizontal="center"/>
    </xf>
    <xf numFmtId="0" fontId="0" fillId="4" borderId="29" xfId="0" applyFill="1" applyBorder="1" applyAlignment="1">
      <alignment/>
    </xf>
    <xf numFmtId="2" fontId="0" fillId="4" borderId="30" xfId="0" applyNumberForma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0" fillId="4" borderId="32" xfId="0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0" fontId="0" fillId="4" borderId="33" xfId="0" applyFill="1" applyBorder="1" applyAlignment="1">
      <alignment/>
    </xf>
    <xf numFmtId="2" fontId="0" fillId="4" borderId="2" xfId="0" applyNumberFormat="1" applyFill="1" applyBorder="1" applyAlignment="1">
      <alignment horizontal="center"/>
    </xf>
    <xf numFmtId="2" fontId="14" fillId="4" borderId="21" xfId="0" applyNumberFormat="1" applyFont="1" applyFill="1" applyBorder="1" applyAlignment="1">
      <alignment horizontal="center"/>
    </xf>
    <xf numFmtId="2" fontId="14" fillId="4" borderId="22" xfId="0" applyNumberFormat="1" applyFont="1" applyFill="1" applyBorder="1" applyAlignment="1">
      <alignment horizontal="center"/>
    </xf>
    <xf numFmtId="2" fontId="14" fillId="4" borderId="23" xfId="0" applyNumberFormat="1" applyFont="1" applyFill="1" applyBorder="1" applyAlignment="1">
      <alignment horizontal="center"/>
    </xf>
    <xf numFmtId="2" fontId="14" fillId="4" borderId="24" xfId="0" applyNumberFormat="1" applyFont="1" applyFill="1" applyBorder="1" applyAlignment="1">
      <alignment horizontal="center"/>
    </xf>
    <xf numFmtId="0" fontId="25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4" fillId="4" borderId="0" xfId="0" applyFont="1" applyFill="1" applyAlignment="1">
      <alignment horizontal="centerContinuous"/>
    </xf>
    <xf numFmtId="0" fontId="14" fillId="4" borderId="0" xfId="0" applyNumberFormat="1" applyFont="1" applyFill="1" applyAlignment="1">
      <alignment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ont="1" applyFill="1" applyAlignment="1" applyProtection="1">
      <alignment horizontal="right"/>
      <protection hidden="1"/>
    </xf>
    <xf numFmtId="0" fontId="0" fillId="4" borderId="0" xfId="0" applyFont="1" applyFill="1" applyAlignment="1" applyProtection="1" quotePrefix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 quotePrefix="1">
      <alignment/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7" fillId="4" borderId="0" xfId="0" applyFont="1" applyFill="1" applyAlignment="1" applyProtection="1">
      <alignment/>
      <protection hidden="1"/>
    </xf>
    <xf numFmtId="0" fontId="8" fillId="4" borderId="34" xfId="0" applyFont="1" applyFill="1" applyBorder="1" applyAlignment="1" applyProtection="1">
      <alignment horizontal="center"/>
      <protection hidden="1"/>
    </xf>
    <xf numFmtId="0" fontId="8" fillId="4" borderId="35" xfId="0" applyFont="1" applyFill="1" applyBorder="1" applyAlignment="1" applyProtection="1">
      <alignment horizontal="center"/>
      <protection hidden="1"/>
    </xf>
    <xf numFmtId="0" fontId="8" fillId="4" borderId="36" xfId="0" applyFont="1" applyFill="1" applyBorder="1" applyAlignment="1" applyProtection="1">
      <alignment horizontal="center"/>
      <protection hidden="1"/>
    </xf>
    <xf numFmtId="0" fontId="8" fillId="4" borderId="37" xfId="0" applyFont="1" applyFill="1" applyBorder="1" applyAlignment="1" applyProtection="1">
      <alignment horizontal="center"/>
      <protection hidden="1"/>
    </xf>
    <xf numFmtId="169" fontId="8" fillId="4" borderId="37" xfId="0" applyNumberFormat="1" applyFont="1" applyFill="1" applyBorder="1" applyAlignment="1" applyProtection="1">
      <alignment horizontal="center"/>
      <protection hidden="1"/>
    </xf>
    <xf numFmtId="1" fontId="8" fillId="4" borderId="37" xfId="0" applyNumberFormat="1" applyFont="1" applyFill="1" applyBorder="1" applyAlignment="1" applyProtection="1">
      <alignment horizontal="center"/>
      <protection hidden="1"/>
    </xf>
    <xf numFmtId="2" fontId="0" fillId="4" borderId="38" xfId="0" applyNumberFormat="1" applyFill="1" applyBorder="1" applyAlignment="1" applyProtection="1">
      <alignment horizontal="center"/>
      <protection hidden="1"/>
    </xf>
    <xf numFmtId="2" fontId="0" fillId="4" borderId="39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2" fontId="0" fillId="4" borderId="0" xfId="0" applyNumberForma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/>
      <protection locked="0"/>
    </xf>
    <xf numFmtId="1" fontId="0" fillId="2" borderId="1" xfId="0" applyNumberFormat="1" applyFill="1" applyBorder="1" applyAlignment="1" applyProtection="1">
      <alignment horizontal="center"/>
      <protection hidden="1"/>
    </xf>
    <xf numFmtId="2" fontId="8" fillId="4" borderId="38" xfId="0" applyNumberFormat="1" applyFont="1" applyFill="1" applyBorder="1" applyAlignment="1" applyProtection="1">
      <alignment horizontal="center"/>
      <protection hidden="1"/>
    </xf>
    <xf numFmtId="2" fontId="8" fillId="4" borderId="39" xfId="0" applyNumberFormat="1" applyFont="1" applyFill="1" applyBorder="1" applyAlignment="1" applyProtection="1">
      <alignment horizontal="center"/>
      <protection hidden="1"/>
    </xf>
    <xf numFmtId="2" fontId="0" fillId="4" borderId="26" xfId="0" applyNumberFormat="1" applyFill="1" applyBorder="1" applyAlignment="1" applyProtection="1">
      <alignment horizontal="center"/>
      <protection hidden="1"/>
    </xf>
    <xf numFmtId="2" fontId="8" fillId="4" borderId="26" xfId="0" applyNumberFormat="1" applyFont="1" applyFill="1" applyBorder="1" applyAlignment="1" applyProtection="1">
      <alignment horizontal="center"/>
      <protection hidden="1"/>
    </xf>
    <xf numFmtId="2" fontId="8" fillId="4" borderId="38" xfId="0" applyNumberFormat="1" applyFont="1" applyFill="1" applyBorder="1" applyAlignment="1" applyProtection="1" quotePrefix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/>
    </xf>
    <xf numFmtId="2" fontId="0" fillId="3" borderId="38" xfId="0" applyNumberFormat="1" applyFill="1" applyBorder="1" applyAlignment="1" applyProtection="1">
      <alignment horizontal="center"/>
      <protection/>
    </xf>
    <xf numFmtId="2" fontId="0" fillId="3" borderId="40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3" fontId="0" fillId="3" borderId="1" xfId="0" applyNumberFormat="1" applyFill="1" applyBorder="1" applyAlignment="1" applyProtection="1">
      <alignment horizontal="center"/>
      <protection/>
    </xf>
    <xf numFmtId="2" fontId="0" fillId="4" borderId="0" xfId="0" applyNumberFormat="1" applyFont="1" applyFill="1" applyBorder="1" applyAlignment="1" applyProtection="1">
      <alignment/>
      <protection hidden="1"/>
    </xf>
    <xf numFmtId="2" fontId="0" fillId="3" borderId="2" xfId="0" applyNumberForma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2" fillId="5" borderId="48" xfId="0" applyFont="1" applyFill="1" applyBorder="1" applyAlignment="1" applyProtection="1">
      <alignment horizontal="center" vertical="center"/>
      <protection hidden="1"/>
    </xf>
    <xf numFmtId="0" fontId="2" fillId="5" borderId="49" xfId="0" applyFont="1" applyFill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 quotePrefix="1">
      <alignment horizontal="center"/>
      <protection locked="0"/>
    </xf>
    <xf numFmtId="0" fontId="1" fillId="2" borderId="3" xfId="0" applyFont="1" applyFill="1" applyBorder="1" applyAlignment="1" applyProtection="1" quotePrefix="1">
      <alignment horizontal="center"/>
      <protection locked="0"/>
    </xf>
    <xf numFmtId="0" fontId="8" fillId="4" borderId="41" xfId="0" applyFont="1" applyFill="1" applyBorder="1" applyAlignment="1" applyProtection="1">
      <alignment horizontal="center"/>
      <protection hidden="1"/>
    </xf>
    <xf numFmtId="0" fontId="8" fillId="4" borderId="43" xfId="0" applyFont="1" applyFill="1" applyBorder="1" applyAlignment="1" applyProtection="1">
      <alignment horizontal="center"/>
      <protection hidden="1"/>
    </xf>
    <xf numFmtId="0" fontId="8" fillId="4" borderId="46" xfId="0" applyFont="1" applyFill="1" applyBorder="1" applyAlignment="1" applyProtection="1">
      <alignment horizontal="center"/>
      <protection hidden="1"/>
    </xf>
    <xf numFmtId="0" fontId="8" fillId="4" borderId="47" xfId="0" applyFont="1" applyFill="1" applyBorder="1" applyAlignment="1" applyProtection="1">
      <alignment horizontal="center"/>
      <protection hidden="1"/>
    </xf>
    <xf numFmtId="1" fontId="8" fillId="4" borderId="48" xfId="0" applyNumberFormat="1" applyFont="1" applyFill="1" applyBorder="1" applyAlignment="1" applyProtection="1">
      <alignment horizontal="center"/>
      <protection hidden="1"/>
    </xf>
    <xf numFmtId="1" fontId="8" fillId="4" borderId="50" xfId="0" applyNumberFormat="1" applyFont="1" applyFill="1" applyBorder="1" applyAlignment="1" applyProtection="1">
      <alignment horizontal="center"/>
      <protection hidden="1"/>
    </xf>
    <xf numFmtId="0" fontId="8" fillId="4" borderId="44" xfId="0" applyFont="1" applyFill="1" applyBorder="1" applyAlignment="1" applyProtection="1">
      <alignment horizontal="center"/>
      <protection hidden="1"/>
    </xf>
    <xf numFmtId="0" fontId="8" fillId="4" borderId="45" xfId="0" applyFont="1" applyFill="1" applyBorder="1" applyAlignment="1" applyProtection="1">
      <alignment horizontal="center"/>
      <protection hidden="1"/>
    </xf>
    <xf numFmtId="2" fontId="0" fillId="4" borderId="5" xfId="0" applyNumberFormat="1" applyFill="1" applyBorder="1" applyAlignment="1" applyProtection="1">
      <alignment horizontal="right"/>
      <protection hidden="1"/>
    </xf>
    <xf numFmtId="2" fontId="0" fillId="4" borderId="51" xfId="0" applyNumberFormat="1" applyFill="1" applyBorder="1" applyAlignment="1" applyProtection="1">
      <alignment horizontal="right"/>
      <protection hidden="1"/>
    </xf>
    <xf numFmtId="1" fontId="0" fillId="4" borderId="5" xfId="0" applyNumberFormat="1" applyFill="1" applyBorder="1" applyAlignment="1">
      <alignment horizontal="center"/>
    </xf>
    <xf numFmtId="1" fontId="0" fillId="4" borderId="51" xfId="0" applyNumberFormat="1" applyFill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1" fontId="0" fillId="4" borderId="52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1" fontId="0" fillId="4" borderId="33" xfId="0" applyNumberFormat="1" applyFill="1" applyBorder="1" applyAlignment="1">
      <alignment horizontal="center"/>
    </xf>
    <xf numFmtId="1" fontId="0" fillId="4" borderId="54" xfId="0" applyNumberForma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/>
    </xf>
    <xf numFmtId="0" fontId="22" fillId="4" borderId="56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2" fillId="4" borderId="5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Runoff Coefficient vs. Imperviousness
NRCS Hydrologic Soils C &amp; D</a:t>
            </a:r>
          </a:p>
        </c:rich>
      </c:tx>
      <c:layout>
        <c:manualLayout>
          <c:xMode val="factor"/>
          <c:yMode val="factor"/>
          <c:x val="-0.074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84"/>
          <c:w val="0.58075"/>
          <c:h val="0.734"/>
        </c:manualLayout>
      </c:layout>
      <c:scatterChart>
        <c:scatterStyle val="smoothMarker"/>
        <c:varyColors val="0"/>
        <c:ser>
          <c:idx val="4"/>
          <c:order val="0"/>
          <c:tx>
            <c:v>100-yr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Info'!$G$31:$G$51</c:f>
              <c:numCache/>
            </c:numRef>
          </c:yVal>
          <c:smooth val="1"/>
        </c:ser>
        <c:ser>
          <c:idx val="0"/>
          <c:order val="1"/>
          <c:tx>
            <c:v>25-yr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Info'!$E$31:$E$51</c:f>
              <c:numCache/>
            </c:numRef>
          </c:yVal>
          <c:smooth val="1"/>
        </c:ser>
        <c:ser>
          <c:idx val="1"/>
          <c:order val="2"/>
          <c:tx>
            <c:v>10-yr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Info'!$D$31:$D$51</c:f>
              <c:numCache/>
            </c:numRef>
          </c:yVal>
          <c:smooth val="1"/>
        </c:ser>
        <c:ser>
          <c:idx val="2"/>
          <c:order val="3"/>
          <c:tx>
            <c:v>5-yr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Info'!$C$31:$C$51</c:f>
              <c:numCache/>
            </c:numRef>
          </c:yVal>
          <c:smooth val="1"/>
        </c:ser>
        <c:ser>
          <c:idx val="3"/>
          <c:order val="4"/>
          <c:tx>
            <c:v>2-yr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Info'!$B$31:$B$51</c:f>
              <c:numCache/>
            </c:numRef>
          </c:yVal>
          <c:smooth val="1"/>
        </c:ser>
        <c:axId val="13363300"/>
        <c:axId val="53160837"/>
      </c:scatterChart>
      <c:valAx>
        <c:axId val="133633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Watershed Impervious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crossAx val="53160837"/>
        <c:crosses val="autoZero"/>
        <c:crossBetween val="midCat"/>
        <c:dispUnits/>
        <c:majorUnit val="0.1"/>
        <c:minorUnit val="0.05"/>
      </c:valAx>
      <c:valAx>
        <c:axId val="53160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Runoff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75"/>
          <c:y val="0.274"/>
          <c:w val="0.15125"/>
          <c:h val="0.3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Runoff Coefficient vs. Imperviousness
NRCS Hydrologic Soil A</a:t>
            </a:r>
          </a:p>
        </c:rich>
      </c:tx>
      <c:layout>
        <c:manualLayout>
          <c:xMode val="factor"/>
          <c:yMode val="factor"/>
          <c:x val="-0.049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225"/>
          <c:w val="0.70375"/>
          <c:h val="0.738"/>
        </c:manualLayout>
      </c:layout>
      <c:scatterChart>
        <c:scatterStyle val="smoothMarker"/>
        <c:varyColors val="0"/>
        <c:ser>
          <c:idx val="4"/>
          <c:order val="0"/>
          <c:tx>
            <c:v>100-yr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Info'!$M$31:$M$51</c:f>
              <c:numCache/>
            </c:numRef>
          </c:yVal>
          <c:smooth val="1"/>
        </c:ser>
        <c:ser>
          <c:idx val="0"/>
          <c:order val="1"/>
          <c:tx>
            <c:v>25-yr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Info'!$K$31:$K$51</c:f>
              <c:numCache/>
            </c:numRef>
          </c:yVal>
          <c:smooth val="1"/>
        </c:ser>
        <c:ser>
          <c:idx val="1"/>
          <c:order val="2"/>
          <c:tx>
            <c:v>10-yr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Info'!$J$31:$J$51</c:f>
              <c:numCache/>
            </c:numRef>
          </c:yVal>
          <c:smooth val="1"/>
        </c:ser>
        <c:ser>
          <c:idx val="2"/>
          <c:order val="3"/>
          <c:tx>
            <c:v>5-yr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'Design Info'!$A$31:$A$51</c:f>
              <c:numCache/>
            </c:numRef>
          </c:xVal>
          <c:yVal>
            <c:numRef>
              <c:f>'Design Info'!$I$31:$I$51</c:f>
              <c:numCache/>
            </c:numRef>
          </c:yVal>
          <c:smooth val="1"/>
        </c:ser>
        <c:ser>
          <c:idx val="3"/>
          <c:order val="4"/>
          <c:tx>
            <c:v>2-yr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'Design Info'!$A$33:$A$51</c:f>
              <c:numCache/>
            </c:numRef>
          </c:xVal>
          <c:yVal>
            <c:numRef>
              <c:f>'Design Info'!$H$33:$H$51</c:f>
              <c:numCache/>
            </c:numRef>
          </c:yVal>
          <c:smooth val="1"/>
        </c:ser>
        <c:axId val="8685486"/>
        <c:axId val="11060511"/>
      </c:scatterChart>
      <c:valAx>
        <c:axId val="86854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Watershed Impervious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crossAx val="11060511"/>
        <c:crosses val="autoZero"/>
        <c:crossBetween val="midCat"/>
        <c:dispUnits/>
        <c:majorUnit val="0.1"/>
        <c:minorUnit val="0.05"/>
      </c:valAx>
      <c:valAx>
        <c:axId val="11060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Runoff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2275"/>
          <c:w val="0.1705"/>
          <c:h val="0.309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8</xdr:col>
      <xdr:colOff>409575</xdr:colOff>
      <xdr:row>16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85900"/>
          <a:ext cx="46767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30</xdr:row>
      <xdr:rowOff>28575</xdr:rowOff>
    </xdr:from>
    <xdr:to>
      <xdr:col>8</xdr:col>
      <xdr:colOff>85725</xdr:colOff>
      <xdr:row>38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114925"/>
          <a:ext cx="4676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54</xdr:row>
      <xdr:rowOff>66675</xdr:rowOff>
    </xdr:from>
    <xdr:to>
      <xdr:col>7</xdr:col>
      <xdr:colOff>133350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95250" y="11649075"/>
        <a:ext cx="6467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54</xdr:row>
      <xdr:rowOff>19050</xdr:rowOff>
    </xdr:from>
    <xdr:to>
      <xdr:col>14</xdr:col>
      <xdr:colOff>228600</xdr:colOff>
      <xdr:row>74</xdr:row>
      <xdr:rowOff>152400</xdr:rowOff>
    </xdr:to>
    <xdr:graphicFrame>
      <xdr:nvGraphicFramePr>
        <xdr:cNvPr id="2" name="Chart 2"/>
        <xdr:cNvGraphicFramePr/>
      </xdr:nvGraphicFramePr>
      <xdr:xfrm>
        <a:off x="6600825" y="11601450"/>
        <a:ext cx="52863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fcd.org/download.htm" TargetMode="External" /><Relationship Id="rId2" Type="http://schemas.openxmlformats.org/officeDocument/2006/relationships/hyperlink" Target="mailto:udfcd@udfcd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H45"/>
  <sheetViews>
    <sheetView tabSelected="1" zoomScale="75" zoomScaleNormal="75" workbookViewId="0" topLeftCell="A1">
      <selection activeCell="B2" sqref="B2:H4"/>
    </sheetView>
  </sheetViews>
  <sheetFormatPr defaultColWidth="9.140625" defaultRowHeight="12.75"/>
  <cols>
    <col min="1" max="1" width="9.140625" style="19" customWidth="1"/>
    <col min="2" max="2" width="20.7109375" style="19" customWidth="1"/>
    <col min="3" max="3" width="11.7109375" style="19" customWidth="1"/>
    <col min="4" max="6" width="9.140625" style="19" customWidth="1"/>
    <col min="7" max="7" width="11.28125" style="19" customWidth="1"/>
    <col min="8" max="8" width="17.57421875" style="19" customWidth="1"/>
    <col min="9" max="16384" width="9.140625" style="19" customWidth="1"/>
  </cols>
  <sheetData>
    <row r="1" ht="13.5" thickBot="1"/>
    <row r="2" spans="2:8" ht="18" customHeight="1" thickTop="1">
      <c r="B2" s="153" t="s">
        <v>220</v>
      </c>
      <c r="C2" s="154"/>
      <c r="D2" s="154"/>
      <c r="E2" s="154"/>
      <c r="F2" s="154"/>
      <c r="G2" s="154"/>
      <c r="H2" s="155"/>
    </row>
    <row r="3" spans="2:8" ht="12.75">
      <c r="B3" s="156"/>
      <c r="C3" s="157"/>
      <c r="D3" s="157"/>
      <c r="E3" s="157"/>
      <c r="F3" s="157"/>
      <c r="G3" s="157"/>
      <c r="H3" s="158"/>
    </row>
    <row r="4" spans="2:8" ht="13.5" thickBot="1">
      <c r="B4" s="159"/>
      <c r="C4" s="160"/>
      <c r="D4" s="160"/>
      <c r="E4" s="160"/>
      <c r="F4" s="160"/>
      <c r="G4" s="160"/>
      <c r="H4" s="161"/>
    </row>
    <row r="5" spans="2:8" ht="18.75" customHeight="1" thickTop="1">
      <c r="B5" s="163" t="s">
        <v>260</v>
      </c>
      <c r="C5" s="164"/>
      <c r="D5" s="164"/>
      <c r="E5" s="164"/>
      <c r="F5" s="164"/>
      <c r="G5" s="164"/>
      <c r="H5" s="164"/>
    </row>
    <row r="6" spans="2:8" ht="15.75">
      <c r="B6" s="162" t="s">
        <v>63</v>
      </c>
      <c r="C6" s="162"/>
      <c r="D6" s="162"/>
      <c r="E6" s="162"/>
      <c r="F6" s="162"/>
      <c r="G6" s="162"/>
      <c r="H6" s="162"/>
    </row>
    <row r="7" spans="2:8" ht="15.75">
      <c r="B7" s="162" t="s">
        <v>64</v>
      </c>
      <c r="C7" s="162"/>
      <c r="D7" s="162"/>
      <c r="E7" s="162"/>
      <c r="F7" s="162"/>
      <c r="G7" s="162"/>
      <c r="H7" s="162"/>
    </row>
    <row r="9" spans="2:3" ht="15.75">
      <c r="B9" s="30" t="s">
        <v>102</v>
      </c>
      <c r="C9" s="21" t="s">
        <v>127</v>
      </c>
    </row>
    <row r="10" spans="2:3" ht="12.75">
      <c r="B10" s="31"/>
      <c r="C10" s="21" t="s">
        <v>128</v>
      </c>
    </row>
    <row r="11" spans="2:3" ht="12.75">
      <c r="B11" s="31"/>
      <c r="C11" s="21" t="s">
        <v>115</v>
      </c>
    </row>
    <row r="12" spans="2:3" ht="12.75">
      <c r="B12" s="31"/>
      <c r="C12" s="21"/>
    </row>
    <row r="13" spans="2:3" ht="15.75">
      <c r="B13" s="30" t="s">
        <v>103</v>
      </c>
      <c r="C13" s="21" t="s">
        <v>109</v>
      </c>
    </row>
    <row r="14" spans="2:3" ht="12.75">
      <c r="B14" s="31"/>
      <c r="C14" s="21" t="s">
        <v>231</v>
      </c>
    </row>
    <row r="15" spans="2:3" ht="12.75">
      <c r="B15" s="31"/>
      <c r="C15" s="21"/>
    </row>
    <row r="16" spans="2:3" ht="12.75">
      <c r="B16" s="31"/>
      <c r="C16" s="21" t="s">
        <v>116</v>
      </c>
    </row>
    <row r="17" spans="2:3" ht="12.75">
      <c r="B17" s="31"/>
      <c r="C17" s="21" t="s">
        <v>230</v>
      </c>
    </row>
    <row r="18" spans="2:3" ht="12.75">
      <c r="B18" s="31"/>
      <c r="C18" s="21" t="s">
        <v>118</v>
      </c>
    </row>
    <row r="19" spans="2:3" ht="12.75">
      <c r="B19" s="31"/>
      <c r="C19" s="21" t="s">
        <v>117</v>
      </c>
    </row>
    <row r="20" spans="2:3" ht="12.75">
      <c r="B20" s="31"/>
      <c r="C20" s="21"/>
    </row>
    <row r="21" spans="2:8" ht="13.5" thickBot="1">
      <c r="B21" s="32"/>
      <c r="C21" s="23" t="s">
        <v>101</v>
      </c>
      <c r="D21" s="22"/>
      <c r="E21" s="22"/>
      <c r="F21" s="22"/>
      <c r="G21" s="22"/>
      <c r="H21" s="22"/>
    </row>
    <row r="22" ht="13.5" thickTop="1">
      <c r="B22" s="31"/>
    </row>
    <row r="23" spans="2:3" ht="15.75">
      <c r="B23" s="30" t="s">
        <v>104</v>
      </c>
      <c r="C23" s="21" t="s">
        <v>129</v>
      </c>
    </row>
    <row r="24" ht="12.75">
      <c r="B24" s="33"/>
    </row>
    <row r="25" spans="2:3" ht="12.75">
      <c r="B25" s="34" t="s">
        <v>119</v>
      </c>
      <c r="C25" s="24" t="s">
        <v>130</v>
      </c>
    </row>
    <row r="26" ht="12.75">
      <c r="B26" s="34"/>
    </row>
    <row r="27" spans="2:3" ht="12.75">
      <c r="B27" s="34" t="s">
        <v>65</v>
      </c>
      <c r="C27" s="19" t="s">
        <v>131</v>
      </c>
    </row>
    <row r="28" ht="12.75">
      <c r="B28" s="34"/>
    </row>
    <row r="29" spans="2:3" ht="12.75">
      <c r="B29" s="34" t="s">
        <v>126</v>
      </c>
      <c r="C29" s="19" t="s">
        <v>105</v>
      </c>
    </row>
    <row r="30" ht="12.75">
      <c r="B30" s="34"/>
    </row>
    <row r="31" spans="2:3" ht="12.75">
      <c r="B31" s="34" t="s">
        <v>108</v>
      </c>
      <c r="C31" s="19" t="s">
        <v>106</v>
      </c>
    </row>
    <row r="32" ht="12.75">
      <c r="B32" s="34"/>
    </row>
    <row r="33" spans="2:3" ht="12.75">
      <c r="B33" s="34" t="s">
        <v>99</v>
      </c>
      <c r="C33" s="19" t="s">
        <v>107</v>
      </c>
    </row>
    <row r="34" ht="12.75">
      <c r="B34" s="34"/>
    </row>
    <row r="35" spans="2:3" ht="14.25">
      <c r="B35" s="35" t="s">
        <v>122</v>
      </c>
      <c r="C35" s="25" t="s">
        <v>123</v>
      </c>
    </row>
    <row r="36" spans="2:3" ht="12.75">
      <c r="B36" s="36"/>
      <c r="C36" s="27" t="s">
        <v>96</v>
      </c>
    </row>
    <row r="37" spans="2:3" ht="12.75">
      <c r="B37" s="36"/>
      <c r="C37" s="26" t="s">
        <v>97</v>
      </c>
    </row>
    <row r="38" spans="2:3" ht="12.75">
      <c r="B38" s="36"/>
      <c r="C38" s="26" t="s">
        <v>98</v>
      </c>
    </row>
    <row r="39" spans="2:3" ht="12.75">
      <c r="B39" s="36"/>
      <c r="C39" s="27" t="s">
        <v>261</v>
      </c>
    </row>
    <row r="40" spans="2:3" ht="12.75">
      <c r="B40" s="36"/>
      <c r="C40" s="26" t="s">
        <v>63</v>
      </c>
    </row>
    <row r="41" spans="2:3" ht="12.75">
      <c r="B41" s="36"/>
      <c r="C41" s="27" t="s">
        <v>124</v>
      </c>
    </row>
    <row r="42" spans="2:3" ht="12.75">
      <c r="B42" s="36"/>
      <c r="C42" s="28" t="s">
        <v>64</v>
      </c>
    </row>
    <row r="43" spans="2:3" ht="12.75">
      <c r="B43" s="36"/>
      <c r="C43" s="26" t="s">
        <v>0</v>
      </c>
    </row>
    <row r="44" spans="2:8" ht="12.75">
      <c r="B44" s="35" t="s">
        <v>125</v>
      </c>
      <c r="C44" s="28" t="s">
        <v>232</v>
      </c>
      <c r="H44" s="29" t="s">
        <v>233</v>
      </c>
    </row>
    <row r="45" spans="2:8" ht="12.75">
      <c r="B45" s="35" t="s">
        <v>228</v>
      </c>
      <c r="C45" s="28" t="s">
        <v>251</v>
      </c>
      <c r="H45" s="29" t="s">
        <v>229</v>
      </c>
    </row>
  </sheetData>
  <sheetProtection password="D2C3" sheet="1" objects="1" scenarios="1" formatCells="0" formatColumns="0" formatRows="0"/>
  <mergeCells count="4">
    <mergeCell ref="B2:H4"/>
    <mergeCell ref="B7:H7"/>
    <mergeCell ref="B6:H6"/>
    <mergeCell ref="B5:H5"/>
  </mergeCells>
  <hyperlinks>
    <hyperlink ref="H45" r:id="rId1" display="Downloads"/>
    <hyperlink ref="H44" r:id="rId2" display="UDFCD E-Mail"/>
  </hyperlinks>
  <printOptions horizont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&amp;L&amp;F, &amp;A&amp;R&amp;D, &amp;T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39"/>
  <sheetViews>
    <sheetView zoomScale="75" zoomScaleNormal="75" workbookViewId="0" topLeftCell="A1">
      <selection activeCell="B2" sqref="B2:I2"/>
    </sheetView>
  </sheetViews>
  <sheetFormatPr defaultColWidth="9.140625" defaultRowHeight="12.75"/>
  <cols>
    <col min="1" max="16384" width="9.140625" style="26" customWidth="1"/>
  </cols>
  <sheetData>
    <row r="1" ht="13.5" thickBot="1"/>
    <row r="2" spans="2:9" ht="30" customHeight="1" thickBot="1" thickTop="1">
      <c r="B2" s="165" t="s">
        <v>111</v>
      </c>
      <c r="C2" s="166"/>
      <c r="D2" s="166"/>
      <c r="E2" s="166"/>
      <c r="F2" s="166"/>
      <c r="G2" s="166"/>
      <c r="H2" s="166"/>
      <c r="I2" s="167"/>
    </row>
    <row r="3" spans="2:9" ht="9.75" customHeight="1" thickTop="1">
      <c r="B3" s="37"/>
      <c r="C3" s="37"/>
      <c r="D3" s="37"/>
      <c r="E3" s="37"/>
      <c r="F3" s="37"/>
      <c r="G3" s="37"/>
      <c r="H3" s="37"/>
      <c r="I3" s="37"/>
    </row>
    <row r="4" ht="9.75" customHeight="1">
      <c r="B4" s="38"/>
    </row>
    <row r="5" spans="2:9" ht="12.75">
      <c r="B5" s="39" t="s">
        <v>132</v>
      </c>
      <c r="C5" s="168"/>
      <c r="D5" s="168"/>
      <c r="E5" s="168"/>
      <c r="F5" s="168"/>
      <c r="G5" s="168"/>
      <c r="H5" s="168"/>
      <c r="I5" s="168"/>
    </row>
    <row r="6" spans="2:9" ht="12.75">
      <c r="B6" s="39" t="s">
        <v>133</v>
      </c>
      <c r="C6" s="169"/>
      <c r="D6" s="169"/>
      <c r="E6" s="169"/>
      <c r="F6" s="169"/>
      <c r="G6" s="169"/>
      <c r="H6" s="169"/>
      <c r="I6" s="169"/>
    </row>
    <row r="7" ht="12.75">
      <c r="B7" s="27"/>
    </row>
    <row r="8" ht="15.75">
      <c r="B8" s="40" t="s">
        <v>60</v>
      </c>
    </row>
    <row r="9" ht="15.75">
      <c r="B9" s="38"/>
    </row>
    <row r="10" ht="15.75">
      <c r="B10" s="38"/>
    </row>
    <row r="11" ht="15.75">
      <c r="B11" s="38"/>
    </row>
    <row r="12" ht="15.75">
      <c r="B12" s="38"/>
    </row>
    <row r="13" ht="15.75">
      <c r="B13" s="38"/>
    </row>
    <row r="14" ht="15.75">
      <c r="B14" s="38"/>
    </row>
    <row r="15" ht="15.75">
      <c r="B15" s="38"/>
    </row>
    <row r="16" ht="15.75">
      <c r="B16" s="38"/>
    </row>
    <row r="17" ht="15.75">
      <c r="B17" s="38"/>
    </row>
    <row r="18" ht="15.75">
      <c r="B18" s="38"/>
    </row>
    <row r="19" spans="2:6" ht="12.75">
      <c r="B19" s="41" t="s">
        <v>134</v>
      </c>
      <c r="C19" s="41"/>
      <c r="D19" s="41"/>
      <c r="E19" s="41"/>
      <c r="F19" s="41"/>
    </row>
    <row r="21" spans="4:8" ht="12.75">
      <c r="D21" s="42" t="s">
        <v>1</v>
      </c>
      <c r="E21" s="42" t="s">
        <v>4</v>
      </c>
      <c r="F21" s="42" t="s">
        <v>2</v>
      </c>
      <c r="G21" s="42" t="s">
        <v>9</v>
      </c>
      <c r="H21" s="43"/>
    </row>
    <row r="22" spans="4:8" ht="12.75">
      <c r="D22" s="42" t="s">
        <v>3</v>
      </c>
      <c r="E22" s="42" t="s">
        <v>5</v>
      </c>
      <c r="F22" s="42" t="s">
        <v>219</v>
      </c>
      <c r="G22" s="42"/>
      <c r="H22" s="43"/>
    </row>
    <row r="23" spans="4:8" ht="12.75">
      <c r="D23" s="42"/>
      <c r="E23" s="42" t="s">
        <v>8</v>
      </c>
      <c r="F23" s="42" t="s">
        <v>218</v>
      </c>
      <c r="G23" s="42" t="s">
        <v>10</v>
      </c>
      <c r="H23" s="43"/>
    </row>
    <row r="24" spans="4:8" ht="12.75">
      <c r="D24" s="13" t="s">
        <v>11</v>
      </c>
      <c r="E24" s="13" t="s">
        <v>11</v>
      </c>
      <c r="F24" s="13" t="s">
        <v>11</v>
      </c>
      <c r="G24" s="13" t="s">
        <v>22</v>
      </c>
      <c r="H24" s="43"/>
    </row>
    <row r="25" spans="4:8" ht="12.75">
      <c r="D25" s="2"/>
      <c r="E25" s="3"/>
      <c r="F25" s="3"/>
      <c r="G25" s="4">
        <f aca="true" t="shared" si="0" ref="G25:G34">IF(F25="","",(F25*E25))</f>
      </c>
      <c r="H25" s="43"/>
    </row>
    <row r="26" spans="4:8" ht="12.75">
      <c r="D26" s="2"/>
      <c r="E26" s="3"/>
      <c r="F26" s="3"/>
      <c r="G26" s="4">
        <f t="shared" si="0"/>
      </c>
      <c r="H26" s="43"/>
    </row>
    <row r="27" spans="4:8" ht="12.75">
      <c r="D27" s="2"/>
      <c r="E27" s="3"/>
      <c r="F27" s="3"/>
      <c r="G27" s="4">
        <f t="shared" si="0"/>
      </c>
      <c r="H27" s="43"/>
    </row>
    <row r="28" spans="4:8" ht="12.75">
      <c r="D28" s="2"/>
      <c r="E28" s="3"/>
      <c r="F28" s="3"/>
      <c r="G28" s="4">
        <f t="shared" si="0"/>
      </c>
      <c r="H28" s="43"/>
    </row>
    <row r="29" spans="4:8" ht="12.75">
      <c r="D29" s="2"/>
      <c r="E29" s="3"/>
      <c r="F29" s="3"/>
      <c r="G29" s="4">
        <f t="shared" si="0"/>
      </c>
      <c r="H29" s="43"/>
    </row>
    <row r="30" spans="4:8" ht="12.75">
      <c r="D30" s="2"/>
      <c r="E30" s="3"/>
      <c r="F30" s="3"/>
      <c r="G30" s="4">
        <f t="shared" si="0"/>
      </c>
      <c r="H30" s="43"/>
    </row>
    <row r="31" spans="4:8" ht="12.75">
      <c r="D31" s="2"/>
      <c r="E31" s="3"/>
      <c r="F31" s="3"/>
      <c r="G31" s="4">
        <f t="shared" si="0"/>
      </c>
      <c r="H31" s="43"/>
    </row>
    <row r="32" spans="4:8" ht="12.75">
      <c r="D32" s="2"/>
      <c r="E32" s="3"/>
      <c r="F32" s="3"/>
      <c r="G32" s="4">
        <f t="shared" si="0"/>
      </c>
      <c r="H32" s="43"/>
    </row>
    <row r="33" spans="4:8" ht="12.75">
      <c r="D33" s="2"/>
      <c r="E33" s="3"/>
      <c r="F33" s="3"/>
      <c r="G33" s="4">
        <f t="shared" si="0"/>
      </c>
      <c r="H33" s="43"/>
    </row>
    <row r="34" spans="4:8" ht="12.75">
      <c r="D34" s="2"/>
      <c r="E34" s="3"/>
      <c r="F34" s="3"/>
      <c r="G34" s="4">
        <f t="shared" si="0"/>
      </c>
      <c r="H34" s="43"/>
    </row>
    <row r="35" spans="1:9" ht="12.75">
      <c r="A35" s="44"/>
      <c r="B35" s="44"/>
      <c r="C35" s="45"/>
      <c r="D35" s="46" t="s">
        <v>110</v>
      </c>
      <c r="E35" s="5">
        <f>SUM(E25:E34)</f>
        <v>0</v>
      </c>
      <c r="F35" s="46" t="s">
        <v>110</v>
      </c>
      <c r="G35" s="5">
        <f>SUM(G25:G34)</f>
        <v>0</v>
      </c>
      <c r="H35" s="47"/>
      <c r="I35" s="44"/>
    </row>
    <row r="36" spans="1:9" ht="12.75">
      <c r="A36" s="44"/>
      <c r="B36" s="44"/>
      <c r="C36" s="47"/>
      <c r="D36" s="41"/>
      <c r="E36" s="41"/>
      <c r="F36" s="41"/>
      <c r="G36" s="41"/>
      <c r="H36" s="41"/>
      <c r="I36" s="44"/>
    </row>
    <row r="37" spans="1:9" ht="12.75">
      <c r="A37" s="44"/>
      <c r="B37" s="44"/>
      <c r="C37" s="48"/>
      <c r="D37" s="41"/>
      <c r="E37" s="49"/>
      <c r="F37" s="46" t="s">
        <v>135</v>
      </c>
      <c r="G37" s="6">
        <f>IF(E35=0,"",G35/E35)</f>
      </c>
      <c r="H37" s="49"/>
      <c r="I37" s="44"/>
    </row>
    <row r="38" ht="12.75">
      <c r="B38" s="27" t="s">
        <v>234</v>
      </c>
    </row>
    <row r="39" ht="12.75">
      <c r="B39" s="50"/>
    </row>
  </sheetData>
  <sheetProtection password="D2C3" sheet="1" objects="1" scenarios="1" formatCells="0" formatColumns="0" formatRows="0"/>
  <mergeCells count="3">
    <mergeCell ref="B2:I2"/>
    <mergeCell ref="C5:I5"/>
    <mergeCell ref="C6:I6"/>
  </mergeCells>
  <printOptions horizontalCentered="1"/>
  <pageMargins left="0.75" right="0.75" top="1" bottom="1" header="0.5" footer="0.5"/>
  <pageSetup fitToHeight="1" fitToWidth="1" horizontalDpi="300" verticalDpi="300" orientation="portrait" scale="99" r:id="rId2"/>
  <headerFooter alignWithMargins="0">
    <oddFooter>&amp;L&amp;F, &amp;A&amp;R&amp;D,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BA103"/>
  <sheetViews>
    <sheetView zoomScale="75" zoomScaleNormal="75" workbookViewId="0" topLeftCell="A1">
      <selection activeCell="B2" sqref="B2:I2"/>
    </sheetView>
  </sheetViews>
  <sheetFormatPr defaultColWidth="9.140625" defaultRowHeight="12.75"/>
  <cols>
    <col min="1" max="1" width="15.00390625" style="118" customWidth="1"/>
    <col min="2" max="2" width="15.00390625" style="26" customWidth="1"/>
    <col min="3" max="9" width="9.7109375" style="26" customWidth="1"/>
    <col min="10" max="10" width="15.00390625" style="26" customWidth="1"/>
    <col min="11" max="16384" width="9.140625" style="136" customWidth="1"/>
  </cols>
  <sheetData>
    <row r="1" ht="13.5" thickBot="1"/>
    <row r="2" spans="2:9" ht="30" customHeight="1" thickBot="1" thickTop="1">
      <c r="B2" s="165" t="s">
        <v>114</v>
      </c>
      <c r="C2" s="166"/>
      <c r="D2" s="166"/>
      <c r="E2" s="166"/>
      <c r="F2" s="166"/>
      <c r="G2" s="166"/>
      <c r="H2" s="166"/>
      <c r="I2" s="167"/>
    </row>
    <row r="3" spans="2:9" ht="6.75" customHeight="1" thickTop="1">
      <c r="B3" s="37"/>
      <c r="C3" s="37"/>
      <c r="D3" s="37"/>
      <c r="E3" s="37"/>
      <c r="F3" s="37"/>
      <c r="G3" s="37"/>
      <c r="H3" s="37"/>
      <c r="I3" s="37"/>
    </row>
    <row r="4" ht="6.75" customHeight="1"/>
    <row r="5" spans="2:9" ht="12.75">
      <c r="B5" s="39" t="s">
        <v>132</v>
      </c>
      <c r="C5" s="170"/>
      <c r="D5" s="170"/>
      <c r="E5" s="170"/>
      <c r="F5" s="170"/>
      <c r="G5" s="170"/>
      <c r="H5" s="170"/>
      <c r="I5" s="170"/>
    </row>
    <row r="6" spans="2:9" ht="12.75">
      <c r="B6" s="39" t="s">
        <v>136</v>
      </c>
      <c r="C6" s="171"/>
      <c r="D6" s="171"/>
      <c r="E6" s="171"/>
      <c r="F6" s="171"/>
      <c r="G6" s="171"/>
      <c r="H6" s="171"/>
      <c r="I6" s="171"/>
    </row>
    <row r="7" ht="12.75">
      <c r="B7" s="136"/>
    </row>
    <row r="8" spans="1:10" ht="12.75">
      <c r="A8" s="39" t="s">
        <v>37</v>
      </c>
      <c r="B8" s="27" t="s">
        <v>47</v>
      </c>
      <c r="C8" s="28"/>
      <c r="D8" s="28"/>
      <c r="I8" s="28"/>
      <c r="J8" s="28"/>
    </row>
    <row r="9" spans="1:8" ht="12.75">
      <c r="A9" s="119"/>
      <c r="B9" s="27"/>
      <c r="C9" s="28"/>
      <c r="D9" s="28"/>
      <c r="E9" s="28"/>
      <c r="F9" s="28"/>
      <c r="G9" s="28"/>
      <c r="H9" s="28"/>
    </row>
    <row r="10" spans="2:5" ht="12.75">
      <c r="B10" s="119" t="s">
        <v>112</v>
      </c>
      <c r="C10" s="15"/>
      <c r="D10" s="28"/>
      <c r="E10" s="120"/>
    </row>
    <row r="11" spans="2:5" ht="12.75">
      <c r="B11" s="119" t="s">
        <v>145</v>
      </c>
      <c r="C11" s="8"/>
      <c r="D11" s="28" t="s">
        <v>141</v>
      </c>
      <c r="E11" s="149"/>
    </row>
    <row r="12" spans="2:7" ht="12.75">
      <c r="B12" s="119" t="s">
        <v>140</v>
      </c>
      <c r="C12" s="8"/>
      <c r="D12" s="28" t="s">
        <v>142</v>
      </c>
      <c r="E12" s="120"/>
      <c r="F12" s="28"/>
      <c r="G12" s="28"/>
    </row>
    <row r="13" spans="2:7" ht="12.75">
      <c r="B13" s="119" t="s">
        <v>143</v>
      </c>
      <c r="C13" s="16"/>
      <c r="D13" s="28" t="s">
        <v>144</v>
      </c>
      <c r="E13" s="120"/>
      <c r="F13" s="28"/>
      <c r="G13" s="28"/>
    </row>
    <row r="14" spans="2:7" ht="12.75">
      <c r="B14" s="121">
        <f>IF($BA$102="","",$BA$102)</f>
      </c>
      <c r="C14" s="28"/>
      <c r="D14" s="28"/>
      <c r="E14" s="120"/>
      <c r="F14" s="28"/>
      <c r="G14" s="28"/>
    </row>
    <row r="15" spans="2:7" ht="12.75">
      <c r="B15" s="121"/>
      <c r="C15" s="28"/>
      <c r="D15" s="28"/>
      <c r="E15" s="28"/>
      <c r="F15" s="28"/>
      <c r="G15" s="28"/>
    </row>
    <row r="16" spans="1:8" ht="12.75">
      <c r="A16" s="39" t="s">
        <v>36</v>
      </c>
      <c r="B16" s="27" t="s">
        <v>43</v>
      </c>
      <c r="C16" s="28"/>
      <c r="D16" s="28"/>
      <c r="E16" s="28"/>
      <c r="F16" s="28"/>
      <c r="G16" s="28"/>
      <c r="H16" s="28"/>
    </row>
    <row r="17" spans="1:8" ht="12.75">
      <c r="A17" s="39"/>
      <c r="B17" s="27"/>
      <c r="C17" s="28"/>
      <c r="D17" s="28"/>
      <c r="E17" s="28"/>
      <c r="F17" s="28"/>
      <c r="G17" s="28"/>
      <c r="H17" s="28"/>
    </row>
    <row r="18" spans="2:5" ht="12.75">
      <c r="B18" s="119" t="s">
        <v>223</v>
      </c>
      <c r="C18" s="9"/>
      <c r="D18" s="26" t="s">
        <v>100</v>
      </c>
      <c r="E18" s="120" t="s">
        <v>224</v>
      </c>
    </row>
    <row r="19" spans="2:5" ht="12.75">
      <c r="B19" s="119" t="s">
        <v>38</v>
      </c>
      <c r="C19" s="10"/>
      <c r="E19" s="122" t="s">
        <v>44</v>
      </c>
    </row>
    <row r="20" spans="2:5" ht="12.75">
      <c r="B20" s="119" t="s">
        <v>39</v>
      </c>
      <c r="C20" s="10"/>
      <c r="E20" s="122" t="s">
        <v>45</v>
      </c>
    </row>
    <row r="21" spans="2:5" ht="12.75">
      <c r="B21" s="119" t="s">
        <v>40</v>
      </c>
      <c r="C21" s="11"/>
      <c r="E21" s="122" t="s">
        <v>46</v>
      </c>
    </row>
    <row r="22" spans="2:5" ht="12.75">
      <c r="B22" s="119" t="s">
        <v>41</v>
      </c>
      <c r="C22" s="10"/>
      <c r="D22" s="26" t="s">
        <v>42</v>
      </c>
      <c r="E22" s="122" t="s">
        <v>137</v>
      </c>
    </row>
    <row r="23" ht="12.75">
      <c r="B23" s="26" t="s">
        <v>0</v>
      </c>
    </row>
    <row r="24" spans="1:8" ht="12.75">
      <c r="A24" s="39" t="s">
        <v>48</v>
      </c>
      <c r="B24" s="27" t="s">
        <v>24</v>
      </c>
      <c r="C24" s="28"/>
      <c r="D24" s="28"/>
      <c r="E24" s="28"/>
      <c r="F24" s="28"/>
      <c r="G24" s="28"/>
      <c r="H24" s="28"/>
    </row>
    <row r="25" spans="1:8" ht="12.75">
      <c r="A25" s="39"/>
      <c r="D25" s="28"/>
      <c r="E25" s="28"/>
      <c r="F25" s="28"/>
      <c r="G25" s="28"/>
      <c r="H25" s="28"/>
    </row>
    <row r="26" spans="1:3" ht="12.75">
      <c r="A26" s="39"/>
      <c r="B26" s="119" t="s">
        <v>146</v>
      </c>
      <c r="C26" s="146">
        <f>IF($BA$100="","",$BA$100)</f>
      </c>
    </row>
    <row r="27" spans="1:5" ht="15.75">
      <c r="A27" s="123"/>
      <c r="B27" s="119" t="s">
        <v>221</v>
      </c>
      <c r="C27" s="18"/>
      <c r="D27" s="26" t="s">
        <v>222</v>
      </c>
      <c r="E27" s="124"/>
    </row>
    <row r="28" spans="1:5" ht="15.75">
      <c r="A28" s="123"/>
      <c r="B28" s="119" t="s">
        <v>227</v>
      </c>
      <c r="C28" s="146">
        <f>IF($BA$101="","",$BA$101)</f>
      </c>
      <c r="E28" s="124"/>
    </row>
    <row r="29" spans="1:5" ht="15.75">
      <c r="A29" s="123"/>
      <c r="B29" s="119" t="s">
        <v>225</v>
      </c>
      <c r="C29" s="18"/>
      <c r="D29" s="26" t="s">
        <v>226</v>
      </c>
      <c r="E29" s="124"/>
    </row>
    <row r="30" spans="1:5" ht="15.75">
      <c r="A30" s="123"/>
      <c r="B30" s="38"/>
      <c r="E30" s="124" t="s">
        <v>61</v>
      </c>
    </row>
    <row r="31" spans="1:2" ht="22.5" customHeight="1">
      <c r="A31" s="123"/>
      <c r="B31" s="38"/>
    </row>
    <row r="32" spans="1:2" ht="15.75">
      <c r="A32" s="123"/>
      <c r="B32" s="38"/>
    </row>
    <row r="33" spans="1:2" ht="15.75">
      <c r="A33" s="123"/>
      <c r="B33" s="38"/>
    </row>
    <row r="34" spans="1:2" ht="15.75">
      <c r="A34" s="123"/>
      <c r="B34" s="38"/>
    </row>
    <row r="35" spans="1:2" ht="15.75">
      <c r="A35" s="123"/>
      <c r="B35" s="38"/>
    </row>
    <row r="36" spans="1:2" ht="15.75">
      <c r="A36" s="123"/>
      <c r="B36" s="38"/>
    </row>
    <row r="37" spans="2:4" ht="12.75">
      <c r="B37" s="27"/>
      <c r="D37" s="122"/>
    </row>
    <row r="38" spans="2:4" ht="12.75">
      <c r="B38" s="27"/>
      <c r="D38" s="122"/>
    </row>
    <row r="39" spans="2:4" ht="13.5" thickBot="1">
      <c r="B39" s="27"/>
      <c r="D39" s="122"/>
    </row>
    <row r="40" spans="2:9" ht="13.5" thickTop="1">
      <c r="B40" s="125" t="s">
        <v>250</v>
      </c>
      <c r="C40" s="125" t="s">
        <v>25</v>
      </c>
      <c r="D40" s="125" t="s">
        <v>241</v>
      </c>
      <c r="E40" s="125" t="s">
        <v>27</v>
      </c>
      <c r="F40" s="125" t="s">
        <v>244</v>
      </c>
      <c r="G40" s="125" t="s">
        <v>245</v>
      </c>
      <c r="H40" s="172" t="s">
        <v>239</v>
      </c>
      <c r="I40" s="173"/>
    </row>
    <row r="41" spans="2:9" ht="12.75">
      <c r="B41" s="126" t="s">
        <v>249</v>
      </c>
      <c r="C41" s="126" t="s">
        <v>26</v>
      </c>
      <c r="D41" s="126" t="s">
        <v>55</v>
      </c>
      <c r="E41" s="126" t="s">
        <v>242</v>
      </c>
      <c r="F41" s="126" t="s">
        <v>28</v>
      </c>
      <c r="G41" s="126" t="s">
        <v>246</v>
      </c>
      <c r="H41" s="178" t="s">
        <v>240</v>
      </c>
      <c r="I41" s="179"/>
    </row>
    <row r="42" spans="2:9" ht="13.5" thickBot="1">
      <c r="B42" s="127"/>
      <c r="C42" s="127"/>
      <c r="D42" s="127"/>
      <c r="E42" s="127" t="s">
        <v>243</v>
      </c>
      <c r="F42" s="127" t="s">
        <v>238</v>
      </c>
      <c r="G42" s="127" t="s">
        <v>247</v>
      </c>
      <c r="H42" s="174" t="s">
        <v>248</v>
      </c>
      <c r="I42" s="175"/>
    </row>
    <row r="43" spans="2:9" ht="14.25" thickBot="1" thickTop="1">
      <c r="B43" s="128" t="s">
        <v>23</v>
      </c>
      <c r="C43" s="129">
        <v>2.5</v>
      </c>
      <c r="D43" s="130">
        <v>5</v>
      </c>
      <c r="E43" s="130">
        <v>7</v>
      </c>
      <c r="F43" s="130">
        <v>10</v>
      </c>
      <c r="G43" s="130">
        <v>15</v>
      </c>
      <c r="H43" s="176">
        <v>20</v>
      </c>
      <c r="I43" s="177"/>
    </row>
    <row r="44" ht="13.5" thickTop="1">
      <c r="B44" s="27" t="s">
        <v>0</v>
      </c>
    </row>
    <row r="45" spans="2:9" ht="12.75">
      <c r="B45" s="26" t="s">
        <v>62</v>
      </c>
      <c r="C45" s="138" t="s">
        <v>90</v>
      </c>
      <c r="D45" s="138" t="s">
        <v>13</v>
      </c>
      <c r="E45" s="138" t="s">
        <v>15</v>
      </c>
      <c r="F45" s="142" t="s">
        <v>34</v>
      </c>
      <c r="G45" s="138" t="s">
        <v>183</v>
      </c>
      <c r="H45" s="138" t="s">
        <v>12</v>
      </c>
      <c r="I45" s="138" t="s">
        <v>12</v>
      </c>
    </row>
    <row r="46" spans="3:9" ht="12.75">
      <c r="C46" s="139" t="s">
        <v>3</v>
      </c>
      <c r="D46" s="139" t="s">
        <v>17</v>
      </c>
      <c r="E46" s="139" t="s">
        <v>16</v>
      </c>
      <c r="F46" s="139" t="s">
        <v>2</v>
      </c>
      <c r="G46" s="139" t="s">
        <v>29</v>
      </c>
      <c r="H46" s="139" t="s">
        <v>31</v>
      </c>
      <c r="I46" s="139" t="s">
        <v>18</v>
      </c>
    </row>
    <row r="47" spans="3:9" ht="12.75">
      <c r="C47" s="139"/>
      <c r="D47" s="139"/>
      <c r="E47" s="139"/>
      <c r="F47" s="139" t="s">
        <v>6</v>
      </c>
      <c r="G47" s="139" t="s">
        <v>30</v>
      </c>
      <c r="H47" s="139" t="s">
        <v>83</v>
      </c>
      <c r="I47" s="139" t="s">
        <v>84</v>
      </c>
    </row>
    <row r="48" spans="3:9" ht="12.75">
      <c r="C48" s="139"/>
      <c r="D48" s="139" t="s">
        <v>19</v>
      </c>
      <c r="E48" s="139" t="s">
        <v>20</v>
      </c>
      <c r="F48" s="139" t="s">
        <v>35</v>
      </c>
      <c r="G48" s="139" t="s">
        <v>0</v>
      </c>
      <c r="H48" s="139" t="s">
        <v>32</v>
      </c>
      <c r="I48" s="139" t="s">
        <v>21</v>
      </c>
    </row>
    <row r="49" spans="3:9" ht="12.75">
      <c r="C49" s="139" t="s">
        <v>0</v>
      </c>
      <c r="D49" s="141" t="s">
        <v>11</v>
      </c>
      <c r="E49" s="141" t="s">
        <v>11</v>
      </c>
      <c r="F49" s="141" t="s">
        <v>22</v>
      </c>
      <c r="G49" s="139" t="s">
        <v>11</v>
      </c>
      <c r="H49" s="141" t="s">
        <v>22</v>
      </c>
      <c r="I49" s="141" t="s">
        <v>22</v>
      </c>
    </row>
    <row r="50" spans="3:9" ht="12.75">
      <c r="C50" s="140" t="s">
        <v>14</v>
      </c>
      <c r="D50" s="14"/>
      <c r="E50" s="17"/>
      <c r="F50" s="150">
        <f>IF(C29="",IF(C28="","",C28),C29)</f>
      </c>
      <c r="G50" s="4" t="s">
        <v>253</v>
      </c>
      <c r="H50" s="143">
        <f>IF(I50&gt;0,+E50/(60*I50),0)</f>
        <v>0</v>
      </c>
      <c r="I50" s="143">
        <f>IF(E50&gt;0,0.395*(1.1-F50)*E50^0.5/D50^0.33,0)</f>
        <v>0</v>
      </c>
    </row>
    <row r="51" spans="3:9" ht="12.75">
      <c r="C51" s="137">
        <v>1</v>
      </c>
      <c r="D51" s="14"/>
      <c r="E51" s="17"/>
      <c r="F51" s="131" t="s">
        <v>0</v>
      </c>
      <c r="G51" s="3"/>
      <c r="H51" s="143">
        <f>IF(E51="","",(G51*D51^0.5))</f>
      </c>
      <c r="I51" s="143">
        <f>IF(H51="","",(E51/(60*H51)))</f>
      </c>
    </row>
    <row r="52" spans="3:9" ht="12.75">
      <c r="C52" s="137">
        <v>2</v>
      </c>
      <c r="D52" s="14"/>
      <c r="E52" s="17"/>
      <c r="F52" s="132" t="s">
        <v>0</v>
      </c>
      <c r="G52" s="3"/>
      <c r="H52" s="143">
        <f>IF(E52="","",(G52*D52^0.5))</f>
      </c>
      <c r="I52" s="143">
        <f>IF(H52="","",(E52/(60*H52)))</f>
      </c>
    </row>
    <row r="53" spans="3:9" ht="12.75">
      <c r="C53" s="137">
        <v>3</v>
      </c>
      <c r="D53" s="14"/>
      <c r="E53" s="17"/>
      <c r="F53" s="132" t="s">
        <v>0</v>
      </c>
      <c r="G53" s="3"/>
      <c r="H53" s="143">
        <f>IF(E53="","",(G53*D53^0.5))</f>
      </c>
      <c r="I53" s="143">
        <f>IF(H53="","",(E53/(60*H53)))</f>
      </c>
    </row>
    <row r="54" spans="3:9" ht="12.75">
      <c r="C54" s="137">
        <v>4</v>
      </c>
      <c r="D54" s="14"/>
      <c r="E54" s="17"/>
      <c r="F54" s="132" t="s">
        <v>0</v>
      </c>
      <c r="G54" s="3"/>
      <c r="H54" s="143">
        <f>IF(E54="","",(G54*D54^0.5))</f>
      </c>
      <c r="I54" s="143">
        <f>IF(H54="","",(E54/(60*H54)))</f>
      </c>
    </row>
    <row r="55" spans="3:9" ht="13.5" thickBot="1">
      <c r="C55" s="137">
        <v>5</v>
      </c>
      <c r="D55" s="14"/>
      <c r="E55" s="17"/>
      <c r="F55" s="132" t="s">
        <v>0</v>
      </c>
      <c r="G55" s="3"/>
      <c r="H55" s="143">
        <f>IF(E55="","",(G55*D55^0.5))</f>
      </c>
      <c r="I55" s="144">
        <f>IF(H55="","",(E55/(60*H55)))</f>
      </c>
    </row>
    <row r="56" spans="3:9" ht="12.75" customHeight="1" thickTop="1">
      <c r="C56" s="180" t="s">
        <v>7</v>
      </c>
      <c r="D56" s="181"/>
      <c r="E56" s="148">
        <f>SUM(E50:E55)</f>
        <v>0</v>
      </c>
      <c r="F56" s="7" t="s">
        <v>0</v>
      </c>
      <c r="G56" s="7"/>
      <c r="H56" s="12" t="s">
        <v>256</v>
      </c>
      <c r="I56" s="145">
        <f>ROUND(SUM(I50:I55),2)</f>
        <v>0</v>
      </c>
    </row>
    <row r="57" spans="3:9" ht="12.75">
      <c r="C57" s="133"/>
      <c r="D57" s="133"/>
      <c r="E57" s="134" t="s">
        <v>0</v>
      </c>
      <c r="F57" s="133"/>
      <c r="G57" s="133"/>
      <c r="H57" s="135" t="s">
        <v>33</v>
      </c>
      <c r="I57" s="143">
        <f>ROUND(+$E$56/180+10,2)</f>
        <v>10</v>
      </c>
    </row>
    <row r="58" spans="3:9" ht="12.75">
      <c r="C58" s="133"/>
      <c r="D58" s="133"/>
      <c r="E58" s="134"/>
      <c r="F58" s="133"/>
      <c r="G58" s="133"/>
      <c r="H58" s="135" t="s">
        <v>252</v>
      </c>
      <c r="I58" s="3"/>
    </row>
    <row r="59" ht="12.75">
      <c r="B59" s="50"/>
    </row>
    <row r="60" spans="1:10" ht="12.75">
      <c r="A60" s="39" t="s">
        <v>49</v>
      </c>
      <c r="B60" s="151" t="s">
        <v>255</v>
      </c>
      <c r="C60" s="151"/>
      <c r="D60" s="151"/>
      <c r="E60" s="151"/>
      <c r="F60" s="152"/>
      <c r="G60" s="152"/>
      <c r="H60" s="152"/>
      <c r="I60" s="152"/>
      <c r="J60" s="152"/>
    </row>
    <row r="61" spans="1:10" ht="12.75">
      <c r="A61" s="135"/>
      <c r="B61" s="135"/>
      <c r="C61" s="135" t="s">
        <v>257</v>
      </c>
      <c r="D61" s="146">
        <f>IF(I56=0,"",($C$19*$C$22/($I$56+$C$20)^$C$21))</f>
      </c>
      <c r="E61" s="133" t="s">
        <v>51</v>
      </c>
      <c r="F61" s="133"/>
      <c r="G61" s="135"/>
      <c r="H61" s="135" t="s">
        <v>113</v>
      </c>
      <c r="I61" s="146">
        <f>IF($C$27="",IF($C$26="","",IF($D$61="","",$C$26*$C$11*$D$61)),$C$27*$C$11*$D$61)</f>
      </c>
      <c r="J61" s="133" t="s">
        <v>53</v>
      </c>
    </row>
    <row r="62" spans="1:10" ht="12.75">
      <c r="A62" s="135"/>
      <c r="B62" s="133"/>
      <c r="C62" s="135" t="s">
        <v>258</v>
      </c>
      <c r="D62" s="147">
        <f>IF(I57=10,"",($C$19*$C$22/($I$57+$C$20)^$C$21))</f>
      </c>
      <c r="E62" s="133" t="s">
        <v>51</v>
      </c>
      <c r="F62" s="133"/>
      <c r="G62" s="133"/>
      <c r="H62" s="135" t="s">
        <v>113</v>
      </c>
      <c r="I62" s="147">
        <f>IF($C$27="",IF($C$26="","",IF($D$62="","",$C$26*$C$11*$D$62)),$C$27*$C$11*$D$62)</f>
      </c>
      <c r="J62" s="133" t="s">
        <v>53</v>
      </c>
    </row>
    <row r="63" spans="1:10" ht="12.75">
      <c r="A63" s="135"/>
      <c r="B63" s="133"/>
      <c r="C63" s="135" t="s">
        <v>259</v>
      </c>
      <c r="D63" s="147">
        <f>IF($I$58="","",($C$19*$C$22/($I$58+$C$20)^$C$21))</f>
      </c>
      <c r="E63" s="133" t="s">
        <v>51</v>
      </c>
      <c r="F63" s="133"/>
      <c r="G63" s="133"/>
      <c r="H63" s="135" t="s">
        <v>113</v>
      </c>
      <c r="I63" s="147">
        <f>IF($C$27="",IF($C$26="","",IF($D$63="","",$C$26*$C$11*$D$63)),$C$27*$C$11*$D$63)</f>
      </c>
      <c r="J63" s="133" t="s">
        <v>53</v>
      </c>
    </row>
    <row r="64" ht="12.75">
      <c r="B64" s="121" t="str">
        <f>IF($BA$103="","",$BA$103)</f>
        <v>Calculated values for Tc &amp; Qp are based on overide values entered for C &amp; C-5.</v>
      </c>
    </row>
    <row r="66" spans="15:17" ht="12.75">
      <c r="O66" s="135"/>
      <c r="Q66" s="133"/>
    </row>
    <row r="70" ht="12.75">
      <c r="B70" s="121"/>
    </row>
    <row r="103" ht="12.75">
      <c r="BA103" s="136" t="s">
        <v>254</v>
      </c>
    </row>
  </sheetData>
  <sheetProtection password="D2C3" sheet="1" objects="1" scenarios="1" formatCells="0" formatColumns="0" formatRows="0"/>
  <mergeCells count="8">
    <mergeCell ref="H42:I42"/>
    <mergeCell ref="H43:I43"/>
    <mergeCell ref="H41:I41"/>
    <mergeCell ref="C56:D56"/>
    <mergeCell ref="B2:I2"/>
    <mergeCell ref="C5:I5"/>
    <mergeCell ref="C6:I6"/>
    <mergeCell ref="H40:I40"/>
  </mergeCells>
  <printOptions horizontalCentered="1"/>
  <pageMargins left="0.75" right="0.75" top="1" bottom="1" header="0.5" footer="0.5"/>
  <pageSetup fitToHeight="1" fitToWidth="1" horizontalDpi="300" verticalDpi="300" orientation="portrait" scale="77" r:id="rId3"/>
  <headerFooter alignWithMargins="0">
    <oddFooter>&amp;L&amp;F, &amp;A&amp;R&amp;D, &amp;T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173"/>
  <sheetViews>
    <sheetView zoomScale="55" zoomScaleNormal="55" zoomScaleSheetLayoutView="50" workbookViewId="0" topLeftCell="A1">
      <selection activeCell="A2" sqref="A2"/>
    </sheetView>
  </sheetViews>
  <sheetFormatPr defaultColWidth="9.140625" defaultRowHeight="12.75"/>
  <cols>
    <col min="1" max="1" width="12.140625" style="19" customWidth="1"/>
    <col min="2" max="3" width="10.7109375" style="19" customWidth="1"/>
    <col min="4" max="8" width="15.7109375" style="19" customWidth="1"/>
    <col min="9" max="13" width="10.7109375" style="19" customWidth="1"/>
    <col min="14" max="15" width="9.140625" style="19" customWidth="1"/>
    <col min="16" max="16" width="25.7109375" style="19" customWidth="1"/>
    <col min="17" max="17" width="9.140625" style="19" customWidth="1"/>
    <col min="18" max="18" width="7.8515625" style="19" customWidth="1"/>
    <col min="19" max="16384" width="9.140625" style="19" customWidth="1"/>
  </cols>
  <sheetData>
    <row r="1" ht="23.25">
      <c r="A1" s="51" t="s">
        <v>178</v>
      </c>
    </row>
    <row r="2" spans="16:21" s="52" customFormat="1" ht="15">
      <c r="P2" s="19"/>
      <c r="Q2" s="19"/>
      <c r="R2" s="19"/>
      <c r="S2" s="19"/>
      <c r="T2" s="19"/>
      <c r="U2" s="19"/>
    </row>
    <row r="3" spans="1:21" s="52" customFormat="1" ht="15.75">
      <c r="A3" s="53"/>
      <c r="B3" s="54"/>
      <c r="P3" s="55" t="s">
        <v>92</v>
      </c>
      <c r="Q3" s="19"/>
      <c r="R3" s="55"/>
      <c r="S3" s="55"/>
      <c r="T3" s="55"/>
      <c r="U3" s="55"/>
    </row>
    <row r="4" spans="11:21" s="52" customFormat="1" ht="15">
      <c r="K4" s="56"/>
      <c r="L4" s="56"/>
      <c r="M4" s="56"/>
      <c r="P4" s="21"/>
      <c r="Q4" s="19"/>
      <c r="R4" s="19"/>
      <c r="S4" s="19"/>
      <c r="T4" s="19"/>
      <c r="U4" s="19"/>
    </row>
    <row r="5" spans="1:21" s="52" customFormat="1" ht="15">
      <c r="A5" s="57" t="s">
        <v>179</v>
      </c>
      <c r="P5" s="58" t="s">
        <v>94</v>
      </c>
      <c r="Q5" s="59">
        <v>2</v>
      </c>
      <c r="R5" s="59">
        <v>5</v>
      </c>
      <c r="S5" s="59">
        <v>10</v>
      </c>
      <c r="T5" s="59">
        <v>50</v>
      </c>
      <c r="U5" s="59">
        <v>100</v>
      </c>
    </row>
    <row r="6" spans="1:21" s="52" customFormat="1" ht="15">
      <c r="A6" s="57"/>
      <c r="P6" s="58" t="s">
        <v>93</v>
      </c>
      <c r="Q6" s="60">
        <v>0.93</v>
      </c>
      <c r="R6" s="60">
        <v>1.35</v>
      </c>
      <c r="S6" s="60">
        <v>1.61</v>
      </c>
      <c r="T6" s="60">
        <v>2.2</v>
      </c>
      <c r="U6" s="60">
        <v>2.6</v>
      </c>
    </row>
    <row r="7" spans="1:21" s="52" customFormat="1" ht="15.75">
      <c r="A7" s="20" t="s">
        <v>180</v>
      </c>
      <c r="B7" s="20"/>
      <c r="C7" s="61"/>
      <c r="D7" s="61"/>
      <c r="E7" s="62"/>
      <c r="P7" s="19"/>
      <c r="Q7" s="19"/>
      <c r="R7" s="19"/>
      <c r="S7" s="19"/>
      <c r="T7" s="19"/>
      <c r="U7" s="19"/>
    </row>
    <row r="8" spans="3:21" s="52" customFormat="1" ht="15.75">
      <c r="C8" s="62"/>
      <c r="D8" s="62"/>
      <c r="E8" s="62"/>
      <c r="P8" s="55" t="s">
        <v>91</v>
      </c>
      <c r="Q8" s="19"/>
      <c r="R8" s="19"/>
      <c r="S8" s="19"/>
      <c r="T8" s="19"/>
      <c r="U8" s="19"/>
    </row>
    <row r="9" spans="1:21" s="52" customFormat="1" ht="20.25">
      <c r="A9" s="63" t="s">
        <v>192</v>
      </c>
      <c r="C9" s="62"/>
      <c r="D9" s="62"/>
      <c r="E9" s="62"/>
      <c r="P9" s="19"/>
      <c r="Q9" s="19"/>
      <c r="R9" s="19"/>
      <c r="S9" s="19"/>
      <c r="T9" s="19"/>
      <c r="U9" s="19"/>
    </row>
    <row r="10" spans="1:21" s="52" customFormat="1" ht="51" customHeight="1">
      <c r="A10" s="64"/>
      <c r="C10" s="62"/>
      <c r="D10" s="62"/>
      <c r="E10" s="62"/>
      <c r="P10" s="190" t="s">
        <v>147</v>
      </c>
      <c r="Q10" s="196"/>
      <c r="R10" s="191"/>
      <c r="S10" s="190" t="s">
        <v>148</v>
      </c>
      <c r="T10" s="191"/>
      <c r="U10" s="19"/>
    </row>
    <row r="11" spans="1:21" s="52" customFormat="1" ht="15.75">
      <c r="A11" s="20" t="s">
        <v>181</v>
      </c>
      <c r="C11" s="62"/>
      <c r="D11" s="62"/>
      <c r="E11" s="62"/>
      <c r="F11" s="62"/>
      <c r="G11" s="62"/>
      <c r="H11" s="62"/>
      <c r="K11" s="56"/>
      <c r="L11" s="56"/>
      <c r="M11" s="56"/>
      <c r="P11" s="192"/>
      <c r="Q11" s="197"/>
      <c r="R11" s="193"/>
      <c r="S11" s="192"/>
      <c r="T11" s="193"/>
      <c r="U11" s="19"/>
    </row>
    <row r="12" spans="3:21" s="52" customFormat="1" ht="15">
      <c r="C12" s="62"/>
      <c r="D12" s="62"/>
      <c r="E12" s="62"/>
      <c r="F12" s="62"/>
      <c r="G12" s="62"/>
      <c r="H12" s="62"/>
      <c r="K12" s="56"/>
      <c r="L12" s="56"/>
      <c r="M12" s="56"/>
      <c r="P12" s="194"/>
      <c r="Q12" s="198"/>
      <c r="R12" s="195"/>
      <c r="S12" s="194"/>
      <c r="T12" s="195"/>
      <c r="U12" s="19"/>
    </row>
    <row r="13" spans="1:21" s="52" customFormat="1" ht="20.25">
      <c r="A13" s="63" t="s">
        <v>193</v>
      </c>
      <c r="C13" s="62"/>
      <c r="D13" s="62"/>
      <c r="E13" s="62"/>
      <c r="F13" s="62"/>
      <c r="G13" s="62"/>
      <c r="H13" s="62"/>
      <c r="P13" s="65" t="s">
        <v>149</v>
      </c>
      <c r="Q13" s="66"/>
      <c r="R13" s="66"/>
      <c r="S13" s="182"/>
      <c r="T13" s="183"/>
      <c r="U13" s="19"/>
    </row>
    <row r="14" spans="1:21" s="52" customFormat="1" ht="15.75">
      <c r="A14" s="64"/>
      <c r="C14" s="62"/>
      <c r="D14" s="62"/>
      <c r="E14" s="62"/>
      <c r="F14" s="62"/>
      <c r="G14" s="62"/>
      <c r="H14" s="62"/>
      <c r="P14" s="67" t="s">
        <v>150</v>
      </c>
      <c r="Q14" s="66"/>
      <c r="R14" s="66"/>
      <c r="S14" s="182">
        <v>95</v>
      </c>
      <c r="T14" s="183"/>
      <c r="U14" s="19"/>
    </row>
    <row r="15" spans="1:21" s="52" customFormat="1" ht="18.75">
      <c r="A15" s="68" t="s">
        <v>182</v>
      </c>
      <c r="B15" s="69" t="s">
        <v>194</v>
      </c>
      <c r="P15" s="67" t="s">
        <v>151</v>
      </c>
      <c r="Q15" s="66"/>
      <c r="R15" s="66"/>
      <c r="S15" s="182">
        <v>85</v>
      </c>
      <c r="T15" s="183"/>
      <c r="U15" s="19"/>
    </row>
    <row r="16" spans="2:21" s="52" customFormat="1" ht="18.75">
      <c r="B16" s="69" t="s">
        <v>195</v>
      </c>
      <c r="P16" s="65" t="s">
        <v>152</v>
      </c>
      <c r="Q16" s="66"/>
      <c r="R16" s="66"/>
      <c r="S16" s="182"/>
      <c r="T16" s="183"/>
      <c r="U16" s="19"/>
    </row>
    <row r="17" spans="2:21" s="52" customFormat="1" ht="18.75">
      <c r="B17" s="69" t="s">
        <v>196</v>
      </c>
      <c r="P17" s="67" t="s">
        <v>153</v>
      </c>
      <c r="Q17" s="66"/>
      <c r="R17" s="66"/>
      <c r="S17" s="182" t="s">
        <v>154</v>
      </c>
      <c r="T17" s="183"/>
      <c r="U17" s="19"/>
    </row>
    <row r="18" spans="2:21" s="52" customFormat="1" ht="18.75">
      <c r="B18" s="70" t="s">
        <v>197</v>
      </c>
      <c r="P18" s="67" t="s">
        <v>155</v>
      </c>
      <c r="Q18" s="66"/>
      <c r="R18" s="66"/>
      <c r="S18" s="182">
        <v>60</v>
      </c>
      <c r="T18" s="183"/>
      <c r="U18" s="19"/>
    </row>
    <row r="19" spans="2:21" s="52" customFormat="1" ht="18.75">
      <c r="B19" s="69" t="s">
        <v>198</v>
      </c>
      <c r="P19" s="67" t="s">
        <v>156</v>
      </c>
      <c r="Q19" s="66"/>
      <c r="R19" s="66"/>
      <c r="S19" s="182">
        <v>75</v>
      </c>
      <c r="T19" s="183"/>
      <c r="U19" s="19"/>
    </row>
    <row r="20" spans="2:21" s="52" customFormat="1" ht="18.75">
      <c r="B20" s="70" t="s">
        <v>199</v>
      </c>
      <c r="P20" s="67" t="s">
        <v>157</v>
      </c>
      <c r="Q20" s="66"/>
      <c r="R20" s="66"/>
      <c r="S20" s="182" t="s">
        <v>154</v>
      </c>
      <c r="T20" s="183"/>
      <c r="U20" s="19"/>
    </row>
    <row r="21" spans="2:21" s="52" customFormat="1" ht="15.75" thickBot="1">
      <c r="B21" s="71"/>
      <c r="P21" s="67" t="s">
        <v>158</v>
      </c>
      <c r="Q21" s="66"/>
      <c r="R21" s="66"/>
      <c r="S21" s="182">
        <v>80</v>
      </c>
      <c r="T21" s="183"/>
      <c r="U21" s="19"/>
    </row>
    <row r="22" spans="2:21" s="52" customFormat="1" ht="20.25" thickBot="1" thickTop="1">
      <c r="B22" s="72"/>
      <c r="C22" s="73"/>
      <c r="D22" s="200" t="s">
        <v>200</v>
      </c>
      <c r="E22" s="200"/>
      <c r="F22" s="200"/>
      <c r="G22" s="200"/>
      <c r="H22" s="74"/>
      <c r="P22" s="65" t="s">
        <v>159</v>
      </c>
      <c r="Q22" s="66"/>
      <c r="R22" s="66"/>
      <c r="S22" s="182"/>
      <c r="T22" s="183"/>
      <c r="U22" s="19"/>
    </row>
    <row r="23" spans="2:21" s="52" customFormat="1" ht="16.5" thickTop="1">
      <c r="B23" s="75" t="s">
        <v>183</v>
      </c>
      <c r="C23" s="76"/>
      <c r="D23" s="199" t="s">
        <v>184</v>
      </c>
      <c r="E23" s="199"/>
      <c r="F23" s="199"/>
      <c r="G23" s="199"/>
      <c r="H23" s="77"/>
      <c r="P23" s="67" t="s">
        <v>160</v>
      </c>
      <c r="Q23" s="66"/>
      <c r="R23" s="66"/>
      <c r="S23" s="182">
        <v>80</v>
      </c>
      <c r="T23" s="183"/>
      <c r="U23" s="19"/>
    </row>
    <row r="24" spans="2:21" s="52" customFormat="1" ht="16.5" thickBot="1">
      <c r="B24" s="78" t="s">
        <v>185</v>
      </c>
      <c r="C24" s="79" t="s">
        <v>186</v>
      </c>
      <c r="D24" s="80" t="s">
        <v>56</v>
      </c>
      <c r="E24" s="80" t="s">
        <v>57</v>
      </c>
      <c r="F24" s="80" t="s">
        <v>187</v>
      </c>
      <c r="G24" s="81" t="s">
        <v>58</v>
      </c>
      <c r="H24" s="82" t="s">
        <v>59</v>
      </c>
      <c r="P24" s="67" t="s">
        <v>161</v>
      </c>
      <c r="Q24" s="66"/>
      <c r="R24" s="66"/>
      <c r="S24" s="182">
        <v>90</v>
      </c>
      <c r="T24" s="183"/>
      <c r="U24" s="19"/>
    </row>
    <row r="25" spans="2:21" s="52" customFormat="1" ht="16.5" thickTop="1">
      <c r="B25" s="83" t="s">
        <v>188</v>
      </c>
      <c r="C25" s="84">
        <v>0</v>
      </c>
      <c r="D25" s="85" t="s">
        <v>201</v>
      </c>
      <c r="E25" s="85" t="s">
        <v>202</v>
      </c>
      <c r="F25" s="85" t="s">
        <v>203</v>
      </c>
      <c r="G25" s="85" t="s">
        <v>204</v>
      </c>
      <c r="H25" s="86" t="s">
        <v>205</v>
      </c>
      <c r="P25" s="65" t="s">
        <v>162</v>
      </c>
      <c r="Q25" s="66"/>
      <c r="R25" s="66"/>
      <c r="S25" s="182">
        <v>5</v>
      </c>
      <c r="T25" s="183"/>
      <c r="U25" s="19"/>
    </row>
    <row r="26" spans="2:21" s="52" customFormat="1" ht="16.5" thickBot="1">
      <c r="B26" s="87" t="s">
        <v>8</v>
      </c>
      <c r="C26" s="88">
        <v>0</v>
      </c>
      <c r="D26" s="89" t="s">
        <v>206</v>
      </c>
      <c r="E26" s="89" t="s">
        <v>207</v>
      </c>
      <c r="F26" s="89" t="s">
        <v>208</v>
      </c>
      <c r="G26" s="89" t="s">
        <v>209</v>
      </c>
      <c r="H26" s="90" t="s">
        <v>210</v>
      </c>
      <c r="P26" s="65" t="s">
        <v>163</v>
      </c>
      <c r="Q26" s="66"/>
      <c r="R26" s="66"/>
      <c r="S26" s="182">
        <v>10</v>
      </c>
      <c r="T26" s="183"/>
      <c r="U26" s="19"/>
    </row>
    <row r="27" spans="16:21" s="52" customFormat="1" ht="16.5" customHeight="1" thickBot="1" thickTop="1">
      <c r="P27" s="65" t="s">
        <v>164</v>
      </c>
      <c r="Q27" s="66"/>
      <c r="R27" s="66"/>
      <c r="S27" s="182">
        <v>50</v>
      </c>
      <c r="T27" s="183"/>
      <c r="U27" s="19"/>
    </row>
    <row r="28" spans="1:21" s="92" customFormat="1" ht="16.5" customHeight="1" thickBot="1" thickTop="1">
      <c r="A28" s="91"/>
      <c r="B28" s="204" t="s">
        <v>211</v>
      </c>
      <c r="C28" s="204"/>
      <c r="D28" s="204"/>
      <c r="E28" s="204"/>
      <c r="F28" s="204"/>
      <c r="G28" s="204"/>
      <c r="H28" s="204" t="s">
        <v>212</v>
      </c>
      <c r="I28" s="204"/>
      <c r="J28" s="204"/>
      <c r="K28" s="204"/>
      <c r="L28" s="204"/>
      <c r="M28" s="204"/>
      <c r="P28" s="65" t="s">
        <v>165</v>
      </c>
      <c r="Q28" s="66"/>
      <c r="R28" s="66"/>
      <c r="S28" s="182">
        <v>15</v>
      </c>
      <c r="T28" s="183"/>
      <c r="U28" s="19"/>
    </row>
    <row r="29" spans="1:21" s="93" customFormat="1" ht="14.25" customHeight="1" thickTop="1">
      <c r="A29" s="75" t="s">
        <v>189</v>
      </c>
      <c r="B29" s="201" t="s">
        <v>213</v>
      </c>
      <c r="C29" s="202"/>
      <c r="D29" s="202"/>
      <c r="E29" s="202"/>
      <c r="F29" s="202"/>
      <c r="G29" s="203"/>
      <c r="H29" s="201" t="s">
        <v>214</v>
      </c>
      <c r="I29" s="202"/>
      <c r="J29" s="202"/>
      <c r="K29" s="202"/>
      <c r="L29" s="202"/>
      <c r="M29" s="203"/>
      <c r="P29" s="65" t="s">
        <v>166</v>
      </c>
      <c r="Q29" s="66"/>
      <c r="R29" s="66"/>
      <c r="S29" s="182"/>
      <c r="T29" s="183"/>
      <c r="U29" s="19"/>
    </row>
    <row r="30" spans="1:21" s="93" customFormat="1" ht="14.25" customHeight="1" thickBot="1">
      <c r="A30" s="78" t="s">
        <v>215</v>
      </c>
      <c r="B30" s="79" t="s">
        <v>186</v>
      </c>
      <c r="C30" s="80" t="s">
        <v>56</v>
      </c>
      <c r="D30" s="80" t="s">
        <v>57</v>
      </c>
      <c r="E30" s="80" t="s">
        <v>187</v>
      </c>
      <c r="F30" s="81" t="s">
        <v>58</v>
      </c>
      <c r="G30" s="82" t="s">
        <v>59</v>
      </c>
      <c r="H30" s="79" t="s">
        <v>186</v>
      </c>
      <c r="I30" s="80" t="s">
        <v>56</v>
      </c>
      <c r="J30" s="80" t="s">
        <v>57</v>
      </c>
      <c r="K30" s="80" t="s">
        <v>187</v>
      </c>
      <c r="L30" s="81" t="s">
        <v>58</v>
      </c>
      <c r="M30" s="82" t="s">
        <v>59</v>
      </c>
      <c r="P30" s="67" t="s">
        <v>167</v>
      </c>
      <c r="Q30" s="66"/>
      <c r="R30" s="66"/>
      <c r="S30" s="182">
        <v>2</v>
      </c>
      <c r="T30" s="183"/>
      <c r="U30" s="19"/>
    </row>
    <row r="31" spans="1:21" s="52" customFormat="1" ht="15.75" thickTop="1">
      <c r="A31" s="94">
        <v>0</v>
      </c>
      <c r="B31" s="95">
        <f aca="true" t="shared" si="0" ref="B31:B51">0.858*$A31^3-0.786*$A31^2+0.774*$A31+0.04</f>
        <v>0.04</v>
      </c>
      <c r="C31" s="96">
        <f aca="true" t="shared" si="1" ref="C31:C51">(-0.1*$A31+0.11)+$B31</f>
        <v>0.15</v>
      </c>
      <c r="D31" s="96">
        <f aca="true" t="shared" si="2" ref="D31:D51">(-0.18*$A31+0.21)+$B31</f>
        <v>0.25</v>
      </c>
      <c r="E31" s="96">
        <f aca="true" t="shared" si="3" ref="E31:E51">(-0.28*$A31+0.33)+$B31</f>
        <v>0.37</v>
      </c>
      <c r="F31" s="96">
        <f aca="true" t="shared" si="4" ref="F31:F51">(-0.33*$A31+0.4)+$B31</f>
        <v>0.44</v>
      </c>
      <c r="G31" s="97">
        <f aca="true" t="shared" si="5" ref="G31:G51">(-0.39*$A31+0.46)+$B31</f>
        <v>0.5</v>
      </c>
      <c r="H31" s="98">
        <f aca="true" t="shared" si="6" ref="H31:H51">1.31*$A31^3-1.44*$A31^2+1.135*$A31-0.12</f>
        <v>-0.12</v>
      </c>
      <c r="I31" s="99">
        <f aca="true" t="shared" si="7" ref="I31:I51">(-0.08*$A31+0.09)+$H31</f>
        <v>-0.03</v>
      </c>
      <c r="J31" s="96">
        <f aca="true" t="shared" si="8" ref="J31:J51">(-0.14*$A31+0.17)+$H31</f>
        <v>0.05000000000000002</v>
      </c>
      <c r="K31" s="96">
        <f aca="true" t="shared" si="9" ref="K31:K51">(-0.19*$A31+0.24)+$H31</f>
        <v>0.12</v>
      </c>
      <c r="L31" s="96">
        <f aca="true" t="shared" si="10" ref="L31:L51">(-0.22*$A31+0.28)+$H31</f>
        <v>0.16000000000000003</v>
      </c>
      <c r="M31" s="100">
        <f aca="true" t="shared" si="11" ref="M31:M51">(-0.25*$A31+0.32)+$H31</f>
        <v>0.2</v>
      </c>
      <c r="P31" s="101" t="s">
        <v>168</v>
      </c>
      <c r="Q31" s="102"/>
      <c r="R31" s="102"/>
      <c r="S31" s="184"/>
      <c r="T31" s="185"/>
      <c r="U31" s="19"/>
    </row>
    <row r="32" spans="1:21" s="52" customFormat="1" ht="15">
      <c r="A32" s="103">
        <f aca="true" t="shared" si="12" ref="A32:A51">A31+0.05</f>
        <v>0.05</v>
      </c>
      <c r="B32" s="104">
        <f t="shared" si="0"/>
        <v>0.07684225</v>
      </c>
      <c r="C32" s="105">
        <f t="shared" si="1"/>
        <v>0.18184224999999998</v>
      </c>
      <c r="D32" s="105">
        <f t="shared" si="2"/>
        <v>0.27784224999999996</v>
      </c>
      <c r="E32" s="105">
        <f t="shared" si="3"/>
        <v>0.39284225</v>
      </c>
      <c r="F32" s="105">
        <f t="shared" si="4"/>
        <v>0.46034225</v>
      </c>
      <c r="G32" s="100">
        <f t="shared" si="5"/>
        <v>0.51734225</v>
      </c>
      <c r="H32" s="98">
        <f t="shared" si="6"/>
        <v>-0.06668625</v>
      </c>
      <c r="I32" s="105">
        <f t="shared" si="7"/>
        <v>0.01931374999999999</v>
      </c>
      <c r="J32" s="105">
        <f t="shared" si="8"/>
        <v>0.09631375</v>
      </c>
      <c r="K32" s="105">
        <f t="shared" si="9"/>
        <v>0.16381374999999998</v>
      </c>
      <c r="L32" s="105">
        <f t="shared" si="10"/>
        <v>0.20231375000000001</v>
      </c>
      <c r="M32" s="100">
        <f t="shared" si="11"/>
        <v>0.24081375</v>
      </c>
      <c r="P32" s="106" t="s">
        <v>169</v>
      </c>
      <c r="Q32" s="107"/>
      <c r="R32" s="107"/>
      <c r="S32" s="186">
        <v>45</v>
      </c>
      <c r="T32" s="187"/>
      <c r="U32" s="19"/>
    </row>
    <row r="33" spans="1:21" s="52" customFormat="1" ht="15">
      <c r="A33" s="103">
        <f t="shared" si="12"/>
        <v>0.1</v>
      </c>
      <c r="B33" s="104">
        <f t="shared" si="0"/>
        <v>0.110398</v>
      </c>
      <c r="C33" s="105">
        <f t="shared" si="1"/>
        <v>0.210398</v>
      </c>
      <c r="D33" s="105">
        <f t="shared" si="2"/>
        <v>0.302398</v>
      </c>
      <c r="E33" s="105">
        <f t="shared" si="3"/>
        <v>0.412398</v>
      </c>
      <c r="F33" s="105">
        <f t="shared" si="4"/>
        <v>0.477398</v>
      </c>
      <c r="G33" s="100">
        <f t="shared" si="5"/>
        <v>0.531398</v>
      </c>
      <c r="H33" s="98">
        <f t="shared" si="6"/>
        <v>-0.019589999999999996</v>
      </c>
      <c r="I33" s="105">
        <f t="shared" si="7"/>
        <v>0.06240999999999999</v>
      </c>
      <c r="J33" s="105">
        <f t="shared" si="8"/>
        <v>0.13641</v>
      </c>
      <c r="K33" s="105">
        <f t="shared" si="9"/>
        <v>0.20140999999999998</v>
      </c>
      <c r="L33" s="105">
        <f t="shared" si="10"/>
        <v>0.23841</v>
      </c>
      <c r="M33" s="100">
        <f t="shared" si="11"/>
        <v>0.27541</v>
      </c>
      <c r="P33" s="108" t="s">
        <v>170</v>
      </c>
      <c r="Q33" s="109"/>
      <c r="R33" s="109"/>
      <c r="S33" s="188"/>
      <c r="T33" s="189"/>
      <c r="U33" s="19"/>
    </row>
    <row r="34" spans="1:21" s="52" customFormat="1" ht="15">
      <c r="A34" s="103">
        <f t="shared" si="12"/>
        <v>0.15000000000000002</v>
      </c>
      <c r="B34" s="104">
        <f t="shared" si="0"/>
        <v>0.14131075</v>
      </c>
      <c r="C34" s="105">
        <f t="shared" si="1"/>
        <v>0.23631075</v>
      </c>
      <c r="D34" s="105">
        <f t="shared" si="2"/>
        <v>0.32431075</v>
      </c>
      <c r="E34" s="105">
        <f t="shared" si="3"/>
        <v>0.4293107500000001</v>
      </c>
      <c r="F34" s="105">
        <f t="shared" si="4"/>
        <v>0.4918107500000001</v>
      </c>
      <c r="G34" s="100">
        <f t="shared" si="5"/>
        <v>0.54281075</v>
      </c>
      <c r="H34" s="104">
        <f t="shared" si="6"/>
        <v>0.022271250000000048</v>
      </c>
      <c r="I34" s="105">
        <f t="shared" si="7"/>
        <v>0.10027125000000005</v>
      </c>
      <c r="J34" s="105">
        <f t="shared" si="8"/>
        <v>0.17127125000000007</v>
      </c>
      <c r="K34" s="105">
        <f t="shared" si="9"/>
        <v>0.23377125000000004</v>
      </c>
      <c r="L34" s="105">
        <f t="shared" si="10"/>
        <v>0.2692712500000001</v>
      </c>
      <c r="M34" s="100">
        <f t="shared" si="11"/>
        <v>0.30477125000000005</v>
      </c>
      <c r="P34" s="65" t="s">
        <v>171</v>
      </c>
      <c r="Q34" s="66"/>
      <c r="R34" s="66"/>
      <c r="S34" s="182"/>
      <c r="T34" s="183"/>
      <c r="U34" s="19"/>
    </row>
    <row r="35" spans="1:21" s="52" customFormat="1" ht="15">
      <c r="A35" s="103">
        <f t="shared" si="12"/>
        <v>0.2</v>
      </c>
      <c r="B35" s="104">
        <f t="shared" si="0"/>
        <v>0.17022400000000001</v>
      </c>
      <c r="C35" s="105">
        <f t="shared" si="1"/>
        <v>0.260224</v>
      </c>
      <c r="D35" s="105">
        <f t="shared" si="2"/>
        <v>0.344224</v>
      </c>
      <c r="E35" s="105">
        <f t="shared" si="3"/>
        <v>0.44422400000000006</v>
      </c>
      <c r="F35" s="105">
        <f t="shared" si="4"/>
        <v>0.504224</v>
      </c>
      <c r="G35" s="100">
        <f t="shared" si="5"/>
        <v>0.552224</v>
      </c>
      <c r="H35" s="104">
        <f t="shared" si="6"/>
        <v>0.05987999999999999</v>
      </c>
      <c r="I35" s="105">
        <f t="shared" si="7"/>
        <v>0.13388</v>
      </c>
      <c r="J35" s="105">
        <f t="shared" si="8"/>
        <v>0.20188</v>
      </c>
      <c r="K35" s="105">
        <f t="shared" si="9"/>
        <v>0.26188</v>
      </c>
      <c r="L35" s="105">
        <f t="shared" si="10"/>
        <v>0.29588000000000003</v>
      </c>
      <c r="M35" s="100">
        <f t="shared" si="11"/>
        <v>0.32988</v>
      </c>
      <c r="P35" s="67" t="s">
        <v>172</v>
      </c>
      <c r="Q35" s="66"/>
      <c r="R35" s="66"/>
      <c r="S35" s="182">
        <v>100</v>
      </c>
      <c r="T35" s="183"/>
      <c r="U35" s="19"/>
    </row>
    <row r="36" spans="1:21" s="52" customFormat="1" ht="15">
      <c r="A36" s="103">
        <f t="shared" si="12"/>
        <v>0.25</v>
      </c>
      <c r="B36" s="104">
        <f t="shared" si="0"/>
        <v>0.19778125000000002</v>
      </c>
      <c r="C36" s="105">
        <f t="shared" si="1"/>
        <v>0.28278125</v>
      </c>
      <c r="D36" s="105">
        <f t="shared" si="2"/>
        <v>0.36278125</v>
      </c>
      <c r="E36" s="105">
        <f t="shared" si="3"/>
        <v>0.45778125000000003</v>
      </c>
      <c r="F36" s="105">
        <f t="shared" si="4"/>
        <v>0.51528125</v>
      </c>
      <c r="G36" s="100">
        <f t="shared" si="5"/>
        <v>0.5602812500000001</v>
      </c>
      <c r="H36" s="104">
        <f t="shared" si="6"/>
        <v>0.09421875000000002</v>
      </c>
      <c r="I36" s="105">
        <f t="shared" si="7"/>
        <v>0.16421875000000002</v>
      </c>
      <c r="J36" s="105">
        <f t="shared" si="8"/>
        <v>0.22921875000000003</v>
      </c>
      <c r="K36" s="105">
        <f t="shared" si="9"/>
        <v>0.28671875</v>
      </c>
      <c r="L36" s="105">
        <f t="shared" si="10"/>
        <v>0.31921875000000005</v>
      </c>
      <c r="M36" s="100">
        <f t="shared" si="11"/>
        <v>0.35171875</v>
      </c>
      <c r="P36" s="67" t="s">
        <v>173</v>
      </c>
      <c r="Q36" s="66"/>
      <c r="R36" s="66"/>
      <c r="S36" s="182">
        <v>40</v>
      </c>
      <c r="T36" s="183"/>
      <c r="U36" s="19"/>
    </row>
    <row r="37" spans="1:21" s="52" customFormat="1" ht="15">
      <c r="A37" s="103">
        <f t="shared" si="12"/>
        <v>0.3</v>
      </c>
      <c r="B37" s="104">
        <f t="shared" si="0"/>
        <v>0.224626</v>
      </c>
      <c r="C37" s="105">
        <f t="shared" si="1"/>
        <v>0.304626</v>
      </c>
      <c r="D37" s="105">
        <f t="shared" si="2"/>
        <v>0.380626</v>
      </c>
      <c r="E37" s="105">
        <f t="shared" si="3"/>
        <v>0.470626</v>
      </c>
      <c r="F37" s="105">
        <f t="shared" si="4"/>
        <v>0.525626</v>
      </c>
      <c r="G37" s="100">
        <f t="shared" si="5"/>
        <v>0.567626</v>
      </c>
      <c r="H37" s="104">
        <f t="shared" si="6"/>
        <v>0.12627</v>
      </c>
      <c r="I37" s="105">
        <f t="shared" si="7"/>
        <v>0.19227</v>
      </c>
      <c r="J37" s="105">
        <f t="shared" si="8"/>
        <v>0.25427</v>
      </c>
      <c r="K37" s="105">
        <f t="shared" si="9"/>
        <v>0.30927</v>
      </c>
      <c r="L37" s="105">
        <f t="shared" si="10"/>
        <v>0.34027</v>
      </c>
      <c r="M37" s="100">
        <f t="shared" si="11"/>
        <v>0.37127</v>
      </c>
      <c r="P37" s="65" t="s">
        <v>174</v>
      </c>
      <c r="Q37" s="66"/>
      <c r="R37" s="66"/>
      <c r="S37" s="182">
        <v>90</v>
      </c>
      <c r="T37" s="183"/>
      <c r="U37" s="19"/>
    </row>
    <row r="38" spans="1:21" s="52" customFormat="1" ht="15">
      <c r="A38" s="103">
        <f t="shared" si="12"/>
        <v>0.35</v>
      </c>
      <c r="B38" s="104">
        <f t="shared" si="0"/>
        <v>0.25140175</v>
      </c>
      <c r="C38" s="105">
        <f t="shared" si="1"/>
        <v>0.32640175</v>
      </c>
      <c r="D38" s="105">
        <f t="shared" si="2"/>
        <v>0.39840175</v>
      </c>
      <c r="E38" s="105">
        <f t="shared" si="3"/>
        <v>0.48340174999999996</v>
      </c>
      <c r="F38" s="105">
        <f t="shared" si="4"/>
        <v>0.5359017500000001</v>
      </c>
      <c r="G38" s="100">
        <f t="shared" si="5"/>
        <v>0.57490175</v>
      </c>
      <c r="H38" s="104">
        <f t="shared" si="6"/>
        <v>0.15701625000000002</v>
      </c>
      <c r="I38" s="105">
        <f t="shared" si="7"/>
        <v>0.21901625000000002</v>
      </c>
      <c r="J38" s="105">
        <f t="shared" si="8"/>
        <v>0.27801625</v>
      </c>
      <c r="K38" s="105">
        <f t="shared" si="9"/>
        <v>0.33051625</v>
      </c>
      <c r="L38" s="105">
        <f t="shared" si="10"/>
        <v>0.36001625000000004</v>
      </c>
      <c r="M38" s="100">
        <f t="shared" si="11"/>
        <v>0.38951625</v>
      </c>
      <c r="P38" s="65" t="s">
        <v>175</v>
      </c>
      <c r="Q38" s="66"/>
      <c r="R38" s="66"/>
      <c r="S38" s="182">
        <v>90</v>
      </c>
      <c r="T38" s="183"/>
      <c r="U38" s="19"/>
    </row>
    <row r="39" spans="1:21" s="52" customFormat="1" ht="15">
      <c r="A39" s="103">
        <f t="shared" si="12"/>
        <v>0.39999999999999997</v>
      </c>
      <c r="B39" s="104">
        <f t="shared" si="0"/>
        <v>0.278752</v>
      </c>
      <c r="C39" s="105">
        <f t="shared" si="1"/>
        <v>0.348752</v>
      </c>
      <c r="D39" s="105">
        <f t="shared" si="2"/>
        <v>0.416752</v>
      </c>
      <c r="E39" s="105">
        <f t="shared" si="3"/>
        <v>0.496752</v>
      </c>
      <c r="F39" s="105">
        <f t="shared" si="4"/>
        <v>0.546752</v>
      </c>
      <c r="G39" s="100">
        <f t="shared" si="5"/>
        <v>0.582752</v>
      </c>
      <c r="H39" s="104">
        <f t="shared" si="6"/>
        <v>0.18744</v>
      </c>
      <c r="I39" s="105">
        <f t="shared" si="7"/>
        <v>0.24544</v>
      </c>
      <c r="J39" s="105">
        <f t="shared" si="8"/>
        <v>0.30144000000000004</v>
      </c>
      <c r="K39" s="105">
        <f t="shared" si="9"/>
        <v>0.35144</v>
      </c>
      <c r="L39" s="105">
        <f t="shared" si="10"/>
        <v>0.37944</v>
      </c>
      <c r="M39" s="100">
        <f t="shared" si="11"/>
        <v>0.40744</v>
      </c>
      <c r="P39" s="67" t="s">
        <v>176</v>
      </c>
      <c r="Q39" s="66"/>
      <c r="R39" s="66"/>
      <c r="S39" s="182">
        <v>0</v>
      </c>
      <c r="T39" s="183"/>
      <c r="U39" s="19"/>
    </row>
    <row r="40" spans="1:21" s="52" customFormat="1" ht="15">
      <c r="A40" s="103">
        <f t="shared" si="12"/>
        <v>0.44999999999999996</v>
      </c>
      <c r="B40" s="104">
        <f t="shared" si="0"/>
        <v>0.30732024999999996</v>
      </c>
      <c r="C40" s="105">
        <f t="shared" si="1"/>
        <v>0.37232024999999996</v>
      </c>
      <c r="D40" s="105">
        <f t="shared" si="2"/>
        <v>0.43632024999999997</v>
      </c>
      <c r="E40" s="105">
        <f t="shared" si="3"/>
        <v>0.51132025</v>
      </c>
      <c r="F40" s="105">
        <f t="shared" si="4"/>
        <v>0.55882025</v>
      </c>
      <c r="G40" s="100">
        <f t="shared" si="5"/>
        <v>0.59182025</v>
      </c>
      <c r="H40" s="104">
        <f t="shared" si="6"/>
        <v>0.21852374999999996</v>
      </c>
      <c r="I40" s="105">
        <f t="shared" si="7"/>
        <v>0.27252374999999995</v>
      </c>
      <c r="J40" s="105">
        <f t="shared" si="8"/>
        <v>0.32552375</v>
      </c>
      <c r="K40" s="105">
        <f t="shared" si="9"/>
        <v>0.37302375</v>
      </c>
      <c r="L40" s="105">
        <f t="shared" si="10"/>
        <v>0.39952375</v>
      </c>
      <c r="M40" s="100">
        <f t="shared" si="11"/>
        <v>0.42602375</v>
      </c>
      <c r="P40" s="67" t="s">
        <v>177</v>
      </c>
      <c r="Q40" s="66"/>
      <c r="R40" s="66"/>
      <c r="S40" s="182">
        <v>0</v>
      </c>
      <c r="T40" s="183"/>
      <c r="U40" s="19"/>
    </row>
    <row r="41" spans="1:16" s="52" customFormat="1" ht="15">
      <c r="A41" s="103">
        <f t="shared" si="12"/>
        <v>0.49999999999999994</v>
      </c>
      <c r="B41" s="104">
        <f t="shared" si="0"/>
        <v>0.33774999999999994</v>
      </c>
      <c r="C41" s="105">
        <f t="shared" si="1"/>
        <v>0.39774999999999994</v>
      </c>
      <c r="D41" s="105">
        <f t="shared" si="2"/>
        <v>0.45774999999999993</v>
      </c>
      <c r="E41" s="105">
        <f t="shared" si="3"/>
        <v>0.5277499999999999</v>
      </c>
      <c r="F41" s="105">
        <f t="shared" si="4"/>
        <v>0.57275</v>
      </c>
      <c r="G41" s="100">
        <f t="shared" si="5"/>
        <v>0.6027499999999999</v>
      </c>
      <c r="H41" s="104">
        <f t="shared" si="6"/>
        <v>0.2512499999999999</v>
      </c>
      <c r="I41" s="105">
        <f t="shared" si="7"/>
        <v>0.3012499999999999</v>
      </c>
      <c r="J41" s="105">
        <f t="shared" si="8"/>
        <v>0.35124999999999995</v>
      </c>
      <c r="K41" s="105">
        <f t="shared" si="9"/>
        <v>0.39624999999999994</v>
      </c>
      <c r="L41" s="105">
        <f t="shared" si="10"/>
        <v>0.42124999999999996</v>
      </c>
      <c r="M41" s="100">
        <f t="shared" si="11"/>
        <v>0.4462499999999999</v>
      </c>
      <c r="P41" s="52" t="s">
        <v>235</v>
      </c>
    </row>
    <row r="42" spans="1:16" s="52" customFormat="1" ht="15">
      <c r="A42" s="103">
        <f t="shared" si="12"/>
        <v>0.5499999999999999</v>
      </c>
      <c r="B42" s="104">
        <f t="shared" si="0"/>
        <v>0.37068474999999995</v>
      </c>
      <c r="C42" s="105">
        <f t="shared" si="1"/>
        <v>0.42568474999999995</v>
      </c>
      <c r="D42" s="105">
        <f t="shared" si="2"/>
        <v>0.48168474999999994</v>
      </c>
      <c r="E42" s="105">
        <f t="shared" si="3"/>
        <v>0.5466847499999999</v>
      </c>
      <c r="F42" s="105">
        <f t="shared" si="4"/>
        <v>0.58918475</v>
      </c>
      <c r="G42" s="100">
        <f t="shared" si="5"/>
        <v>0.61618475</v>
      </c>
      <c r="H42" s="104">
        <f t="shared" si="6"/>
        <v>0.28660125000000003</v>
      </c>
      <c r="I42" s="105">
        <f t="shared" si="7"/>
        <v>0.33260125</v>
      </c>
      <c r="J42" s="105">
        <f t="shared" si="8"/>
        <v>0.37960125000000006</v>
      </c>
      <c r="K42" s="105">
        <f t="shared" si="9"/>
        <v>0.42210125000000004</v>
      </c>
      <c r="L42" s="105">
        <f t="shared" si="10"/>
        <v>0.44560125000000006</v>
      </c>
      <c r="M42" s="100">
        <f t="shared" si="11"/>
        <v>0.46910125</v>
      </c>
      <c r="P42" s="52" t="s">
        <v>236</v>
      </c>
    </row>
    <row r="43" spans="1:13" s="52" customFormat="1" ht="15">
      <c r="A43" s="103">
        <f t="shared" si="12"/>
        <v>0.6</v>
      </c>
      <c r="B43" s="104">
        <f t="shared" si="0"/>
        <v>0.40676799999999996</v>
      </c>
      <c r="C43" s="105">
        <f t="shared" si="1"/>
        <v>0.45676799999999995</v>
      </c>
      <c r="D43" s="105">
        <f t="shared" si="2"/>
        <v>0.508768</v>
      </c>
      <c r="E43" s="105">
        <f t="shared" si="3"/>
        <v>0.5687679999999999</v>
      </c>
      <c r="F43" s="105">
        <f t="shared" si="4"/>
        <v>0.608768</v>
      </c>
      <c r="G43" s="100">
        <f t="shared" si="5"/>
        <v>0.632768</v>
      </c>
      <c r="H43" s="104">
        <f t="shared" si="6"/>
        <v>0.32555999999999996</v>
      </c>
      <c r="I43" s="105">
        <f t="shared" si="7"/>
        <v>0.36755999999999994</v>
      </c>
      <c r="J43" s="105">
        <f t="shared" si="8"/>
        <v>0.41156</v>
      </c>
      <c r="K43" s="105">
        <f t="shared" si="9"/>
        <v>0.45155999999999996</v>
      </c>
      <c r="L43" s="105">
        <f t="shared" si="10"/>
        <v>0.47356</v>
      </c>
      <c r="M43" s="100">
        <f t="shared" si="11"/>
        <v>0.49556</v>
      </c>
    </row>
    <row r="44" spans="1:13" s="52" customFormat="1" ht="15">
      <c r="A44" s="103">
        <f t="shared" si="12"/>
        <v>0.65</v>
      </c>
      <c r="B44" s="104">
        <f t="shared" si="0"/>
        <v>0.44664325</v>
      </c>
      <c r="C44" s="105">
        <f t="shared" si="1"/>
        <v>0.49164325</v>
      </c>
      <c r="D44" s="105">
        <f t="shared" si="2"/>
        <v>0.53964325</v>
      </c>
      <c r="E44" s="105">
        <f t="shared" si="3"/>
        <v>0.59464325</v>
      </c>
      <c r="F44" s="105">
        <f t="shared" si="4"/>
        <v>0.6321432499999999</v>
      </c>
      <c r="G44" s="100">
        <f t="shared" si="5"/>
        <v>0.6531432500000001</v>
      </c>
      <c r="H44" s="104">
        <f t="shared" si="6"/>
        <v>0.36910875000000004</v>
      </c>
      <c r="I44" s="105">
        <f t="shared" si="7"/>
        <v>0.40710875</v>
      </c>
      <c r="J44" s="105">
        <f t="shared" si="8"/>
        <v>0.44810875000000006</v>
      </c>
      <c r="K44" s="105">
        <f t="shared" si="9"/>
        <v>0.48560875000000003</v>
      </c>
      <c r="L44" s="105">
        <f t="shared" si="10"/>
        <v>0.5061087500000001</v>
      </c>
      <c r="M44" s="100">
        <f t="shared" si="11"/>
        <v>0.5266087500000001</v>
      </c>
    </row>
    <row r="45" spans="1:13" s="52" customFormat="1" ht="15">
      <c r="A45" s="103">
        <f t="shared" si="12"/>
        <v>0.7000000000000001</v>
      </c>
      <c r="B45" s="104">
        <f t="shared" si="0"/>
        <v>0.490954</v>
      </c>
      <c r="C45" s="105">
        <f t="shared" si="1"/>
        <v>0.530954</v>
      </c>
      <c r="D45" s="105">
        <f t="shared" si="2"/>
        <v>0.574954</v>
      </c>
      <c r="E45" s="105">
        <f t="shared" si="3"/>
        <v>0.624954</v>
      </c>
      <c r="F45" s="105">
        <f t="shared" si="4"/>
        <v>0.6599539999999999</v>
      </c>
      <c r="G45" s="100">
        <f t="shared" si="5"/>
        <v>0.677954</v>
      </c>
      <c r="H45" s="104">
        <f t="shared" si="6"/>
        <v>0.4182300000000001</v>
      </c>
      <c r="I45" s="105">
        <f t="shared" si="7"/>
        <v>0.4522300000000001</v>
      </c>
      <c r="J45" s="105">
        <f t="shared" si="8"/>
        <v>0.4902300000000001</v>
      </c>
      <c r="K45" s="105">
        <f t="shared" si="9"/>
        <v>0.5252300000000001</v>
      </c>
      <c r="L45" s="105">
        <f t="shared" si="10"/>
        <v>0.5442300000000001</v>
      </c>
      <c r="M45" s="100">
        <f t="shared" si="11"/>
        <v>0.5632300000000001</v>
      </c>
    </row>
    <row r="46" spans="1:13" s="52" customFormat="1" ht="15">
      <c r="A46" s="103">
        <f t="shared" si="12"/>
        <v>0.7500000000000001</v>
      </c>
      <c r="B46" s="104">
        <f t="shared" si="0"/>
        <v>0.5403437500000001</v>
      </c>
      <c r="C46" s="105">
        <f t="shared" si="1"/>
        <v>0.5753437500000002</v>
      </c>
      <c r="D46" s="105">
        <f t="shared" si="2"/>
        <v>0.6153437500000001</v>
      </c>
      <c r="E46" s="105">
        <f t="shared" si="3"/>
        <v>0.6603437500000001</v>
      </c>
      <c r="F46" s="105">
        <f t="shared" si="4"/>
        <v>0.6928437500000001</v>
      </c>
      <c r="G46" s="100">
        <f t="shared" si="5"/>
        <v>0.7078437500000001</v>
      </c>
      <c r="H46" s="104">
        <f t="shared" si="6"/>
        <v>0.4739062500000002</v>
      </c>
      <c r="I46" s="105">
        <f t="shared" si="7"/>
        <v>0.5039062500000002</v>
      </c>
      <c r="J46" s="105">
        <f t="shared" si="8"/>
        <v>0.5389062500000001</v>
      </c>
      <c r="K46" s="105">
        <f t="shared" si="9"/>
        <v>0.5714062500000001</v>
      </c>
      <c r="L46" s="105">
        <f t="shared" si="10"/>
        <v>0.5889062500000002</v>
      </c>
      <c r="M46" s="100">
        <f t="shared" si="11"/>
        <v>0.6064062500000001</v>
      </c>
    </row>
    <row r="47" spans="1:13" s="52" customFormat="1" ht="15">
      <c r="A47" s="103">
        <f t="shared" si="12"/>
        <v>0.8000000000000002</v>
      </c>
      <c r="B47" s="104">
        <f t="shared" si="0"/>
        <v>0.5954560000000002</v>
      </c>
      <c r="C47" s="105">
        <f t="shared" si="1"/>
        <v>0.6254560000000002</v>
      </c>
      <c r="D47" s="105">
        <f t="shared" si="2"/>
        <v>0.6614560000000002</v>
      </c>
      <c r="E47" s="105">
        <f t="shared" si="3"/>
        <v>0.7014560000000002</v>
      </c>
      <c r="F47" s="105">
        <f t="shared" si="4"/>
        <v>0.7314560000000001</v>
      </c>
      <c r="G47" s="100">
        <f t="shared" si="5"/>
        <v>0.7434560000000001</v>
      </c>
      <c r="H47" s="104">
        <f t="shared" si="6"/>
        <v>0.5371200000000002</v>
      </c>
      <c r="I47" s="105">
        <f t="shared" si="7"/>
        <v>0.5631200000000002</v>
      </c>
      <c r="J47" s="105">
        <f t="shared" si="8"/>
        <v>0.5951200000000001</v>
      </c>
      <c r="K47" s="105">
        <f t="shared" si="9"/>
        <v>0.6251200000000001</v>
      </c>
      <c r="L47" s="105">
        <f t="shared" si="10"/>
        <v>0.6411200000000001</v>
      </c>
      <c r="M47" s="100">
        <f t="shared" si="11"/>
        <v>0.6571200000000001</v>
      </c>
    </row>
    <row r="48" spans="1:13" s="52" customFormat="1" ht="15">
      <c r="A48" s="103">
        <f t="shared" si="12"/>
        <v>0.8500000000000002</v>
      </c>
      <c r="B48" s="104">
        <f t="shared" si="0"/>
        <v>0.6569342500000003</v>
      </c>
      <c r="C48" s="105">
        <f t="shared" si="1"/>
        <v>0.6819342500000003</v>
      </c>
      <c r="D48" s="105">
        <f t="shared" si="2"/>
        <v>0.7139342500000002</v>
      </c>
      <c r="E48" s="105">
        <f t="shared" si="3"/>
        <v>0.7489342500000002</v>
      </c>
      <c r="F48" s="105">
        <f t="shared" si="4"/>
        <v>0.7764342500000002</v>
      </c>
      <c r="G48" s="100">
        <f t="shared" si="5"/>
        <v>0.7854342500000002</v>
      </c>
      <c r="H48" s="104">
        <f t="shared" si="6"/>
        <v>0.6088537500000004</v>
      </c>
      <c r="I48" s="105">
        <f t="shared" si="7"/>
        <v>0.6308537500000004</v>
      </c>
      <c r="J48" s="105">
        <f t="shared" si="8"/>
        <v>0.6598537500000003</v>
      </c>
      <c r="K48" s="105">
        <f t="shared" si="9"/>
        <v>0.6873537500000004</v>
      </c>
      <c r="L48" s="105">
        <f t="shared" si="10"/>
        <v>0.7018537500000004</v>
      </c>
      <c r="M48" s="100">
        <f t="shared" si="11"/>
        <v>0.7163537500000003</v>
      </c>
    </row>
    <row r="49" spans="1:13" s="52" customFormat="1" ht="15">
      <c r="A49" s="103">
        <f t="shared" si="12"/>
        <v>0.9000000000000002</v>
      </c>
      <c r="B49" s="104">
        <f t="shared" si="0"/>
        <v>0.7254220000000003</v>
      </c>
      <c r="C49" s="105">
        <f t="shared" si="1"/>
        <v>0.7454220000000004</v>
      </c>
      <c r="D49" s="105">
        <f t="shared" si="2"/>
        <v>0.7734220000000003</v>
      </c>
      <c r="E49" s="105">
        <f t="shared" si="3"/>
        <v>0.8034220000000003</v>
      </c>
      <c r="F49" s="105">
        <f t="shared" si="4"/>
        <v>0.8284220000000002</v>
      </c>
      <c r="G49" s="100">
        <f t="shared" si="5"/>
        <v>0.8344220000000002</v>
      </c>
      <c r="H49" s="104">
        <f t="shared" si="6"/>
        <v>0.6900900000000005</v>
      </c>
      <c r="I49" s="105">
        <f t="shared" si="7"/>
        <v>0.7080900000000006</v>
      </c>
      <c r="J49" s="105">
        <f t="shared" si="8"/>
        <v>0.7340900000000005</v>
      </c>
      <c r="K49" s="105">
        <f t="shared" si="9"/>
        <v>0.7590900000000005</v>
      </c>
      <c r="L49" s="105">
        <f t="shared" si="10"/>
        <v>0.7720900000000005</v>
      </c>
      <c r="M49" s="100">
        <f t="shared" si="11"/>
        <v>0.7850900000000005</v>
      </c>
    </row>
    <row r="50" spans="1:13" s="52" customFormat="1" ht="15">
      <c r="A50" s="103">
        <f t="shared" si="12"/>
        <v>0.9500000000000003</v>
      </c>
      <c r="B50" s="104">
        <f t="shared" si="0"/>
        <v>0.8015627500000005</v>
      </c>
      <c r="C50" s="105">
        <f t="shared" si="1"/>
        <v>0.8165627500000006</v>
      </c>
      <c r="D50" s="105">
        <f t="shared" si="2"/>
        <v>0.8405627500000005</v>
      </c>
      <c r="E50" s="105">
        <f t="shared" si="3"/>
        <v>0.8655627500000005</v>
      </c>
      <c r="F50" s="105">
        <f t="shared" si="4"/>
        <v>0.8880627500000005</v>
      </c>
      <c r="G50" s="100">
        <f t="shared" si="5"/>
        <v>0.8910627500000005</v>
      </c>
      <c r="H50" s="104">
        <f t="shared" si="6"/>
        <v>0.7818112500000006</v>
      </c>
      <c r="I50" s="105">
        <f t="shared" si="7"/>
        <v>0.7958112500000006</v>
      </c>
      <c r="J50" s="105">
        <f t="shared" si="8"/>
        <v>0.8188112500000005</v>
      </c>
      <c r="K50" s="105">
        <f t="shared" si="9"/>
        <v>0.8413112500000006</v>
      </c>
      <c r="L50" s="105">
        <f t="shared" si="10"/>
        <v>0.8528112500000006</v>
      </c>
      <c r="M50" s="100">
        <f t="shared" si="11"/>
        <v>0.8643112500000005</v>
      </c>
    </row>
    <row r="51" spans="1:13" s="52" customFormat="1" ht="15.75" thickBot="1">
      <c r="A51" s="110">
        <f t="shared" si="12"/>
        <v>1.0000000000000002</v>
      </c>
      <c r="B51" s="111">
        <f t="shared" si="0"/>
        <v>0.8860000000000005</v>
      </c>
      <c r="C51" s="112">
        <f t="shared" si="1"/>
        <v>0.8960000000000005</v>
      </c>
      <c r="D51" s="112">
        <f t="shared" si="2"/>
        <v>0.9160000000000004</v>
      </c>
      <c r="E51" s="112">
        <f t="shared" si="3"/>
        <v>0.9360000000000004</v>
      </c>
      <c r="F51" s="112">
        <f t="shared" si="4"/>
        <v>0.9560000000000004</v>
      </c>
      <c r="G51" s="113">
        <f t="shared" si="5"/>
        <v>0.9560000000000004</v>
      </c>
      <c r="H51" s="111">
        <f t="shared" si="6"/>
        <v>0.8850000000000006</v>
      </c>
      <c r="I51" s="112">
        <f t="shared" si="7"/>
        <v>0.8950000000000006</v>
      </c>
      <c r="J51" s="112">
        <f t="shared" si="8"/>
        <v>0.9150000000000005</v>
      </c>
      <c r="K51" s="112">
        <f t="shared" si="9"/>
        <v>0.9350000000000005</v>
      </c>
      <c r="L51" s="112">
        <f t="shared" si="10"/>
        <v>0.9450000000000005</v>
      </c>
      <c r="M51" s="113">
        <f t="shared" si="11"/>
        <v>0.9550000000000005</v>
      </c>
    </row>
    <row r="52" spans="2:3" s="52" customFormat="1" ht="19.5" thickTop="1">
      <c r="B52" s="93" t="s">
        <v>216</v>
      </c>
      <c r="C52" s="93" t="s">
        <v>217</v>
      </c>
    </row>
    <row r="53" s="52" customFormat="1" ht="15.75">
      <c r="C53" s="93" t="s">
        <v>190</v>
      </c>
    </row>
    <row r="54" s="52" customFormat="1" ht="15.75">
      <c r="C54" s="114" t="s">
        <v>191</v>
      </c>
    </row>
    <row r="55" s="52" customFormat="1" ht="15"/>
    <row r="56" s="52" customFormat="1" ht="15"/>
    <row r="57" s="52" customFormat="1" ht="15"/>
    <row r="58" s="52" customFormat="1" ht="15"/>
    <row r="59" s="52" customFormat="1" ht="15"/>
    <row r="60" s="52" customFormat="1" ht="15"/>
    <row r="61" s="52" customFormat="1" ht="15"/>
    <row r="62" s="52" customFormat="1" ht="15"/>
    <row r="63" s="52" customFormat="1" ht="15"/>
    <row r="64" s="52" customFormat="1" ht="15"/>
    <row r="65" s="52" customFormat="1" ht="15"/>
    <row r="66" s="52" customFormat="1" ht="15"/>
    <row r="67" s="52" customFormat="1" ht="15"/>
    <row r="68" s="52" customFormat="1" ht="15"/>
    <row r="69" s="52" customFormat="1" ht="15"/>
    <row r="70" s="52" customFormat="1" ht="15"/>
    <row r="71" s="52" customFormat="1" ht="15"/>
    <row r="72" s="52" customFormat="1" ht="1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pans="1:3" s="52" customFormat="1" ht="15.75">
      <c r="A79" s="115"/>
      <c r="B79" s="116"/>
      <c r="C79" s="116"/>
    </row>
    <row r="80" spans="4:7" s="52" customFormat="1" ht="15">
      <c r="D80" s="116"/>
      <c r="E80" s="116"/>
      <c r="F80" s="116"/>
      <c r="G80" s="116"/>
    </row>
    <row r="81" spans="2:3" s="52" customFormat="1" ht="15">
      <c r="B81" s="117"/>
      <c r="C81" s="117"/>
    </row>
    <row r="82" spans="2:7" s="52" customFormat="1" ht="15">
      <c r="B82" s="117"/>
      <c r="C82" s="117"/>
      <c r="D82" s="117"/>
      <c r="E82" s="117"/>
      <c r="F82" s="117"/>
      <c r="G82" s="117"/>
    </row>
    <row r="83" spans="2:7" s="52" customFormat="1" ht="15">
      <c r="B83" s="117"/>
      <c r="C83" s="117"/>
      <c r="D83" s="117"/>
      <c r="E83" s="117"/>
      <c r="F83" s="117"/>
      <c r="G83" s="117"/>
    </row>
    <row r="84" spans="2:7" s="52" customFormat="1" ht="15">
      <c r="B84" s="117"/>
      <c r="C84" s="117"/>
      <c r="D84" s="117"/>
      <c r="E84" s="117"/>
      <c r="F84" s="117"/>
      <c r="G84" s="117"/>
    </row>
    <row r="85" spans="2:7" s="52" customFormat="1" ht="15">
      <c r="B85" s="117"/>
      <c r="C85" s="117"/>
      <c r="D85" s="117"/>
      <c r="E85" s="117"/>
      <c r="F85" s="117"/>
      <c r="G85" s="117"/>
    </row>
    <row r="86" spans="2:7" s="52" customFormat="1" ht="15">
      <c r="B86" s="117"/>
      <c r="C86" s="117"/>
      <c r="D86" s="117"/>
      <c r="E86" s="117"/>
      <c r="F86" s="117"/>
      <c r="G86" s="117"/>
    </row>
    <row r="87" spans="4:7" s="52" customFormat="1" ht="15">
      <c r="D87" s="117"/>
      <c r="E87" s="117"/>
      <c r="F87" s="117"/>
      <c r="G87" s="117"/>
    </row>
    <row r="88" s="52" customFormat="1" ht="15"/>
    <row r="89" s="52" customFormat="1" ht="15"/>
    <row r="90" s="52" customFormat="1" ht="15"/>
    <row r="91" s="52" customFormat="1" ht="15"/>
    <row r="92" s="52" customFormat="1" ht="15"/>
    <row r="93" s="52" customFormat="1" ht="15"/>
    <row r="94" s="52" customFormat="1" ht="15"/>
    <row r="95" s="52" customFormat="1" ht="15"/>
    <row r="96" s="52" customFormat="1" ht="15"/>
    <row r="97" s="52" customFormat="1" ht="15"/>
    <row r="98" s="52" customFormat="1" ht="15"/>
    <row r="99" s="52" customFormat="1" ht="15"/>
    <row r="100" s="52" customFormat="1" ht="15"/>
    <row r="101" s="52" customFormat="1" ht="15"/>
    <row r="102" s="52" customFormat="1" ht="15"/>
    <row r="103" s="52" customFormat="1" ht="15"/>
    <row r="104" s="52" customFormat="1" ht="15"/>
    <row r="105" s="52" customFormat="1" ht="15"/>
    <row r="106" s="52" customFormat="1" ht="15"/>
    <row r="107" s="52" customFormat="1" ht="15"/>
    <row r="108" s="52" customFormat="1" ht="15"/>
    <row r="109" s="52" customFormat="1" ht="15"/>
    <row r="110" s="52" customFormat="1" ht="15"/>
    <row r="111" s="52" customFormat="1" ht="15"/>
    <row r="112" s="52" customFormat="1" ht="15"/>
    <row r="113" s="52" customFormat="1" ht="15"/>
    <row r="114" s="52" customFormat="1" ht="15"/>
    <row r="115" s="52" customFormat="1" ht="15"/>
    <row r="116" s="52" customFormat="1" ht="15"/>
    <row r="117" s="52" customFormat="1" ht="15"/>
    <row r="118" s="52" customFormat="1" ht="15"/>
    <row r="119" s="52" customFormat="1" ht="15"/>
    <row r="120" s="52" customFormat="1" ht="15"/>
    <row r="121" s="52" customFormat="1" ht="15"/>
    <row r="122" s="52" customFormat="1" ht="15"/>
    <row r="123" s="52" customFormat="1" ht="15"/>
    <row r="124" s="52" customFormat="1" ht="15"/>
    <row r="125" s="52" customFormat="1" ht="15"/>
    <row r="126" s="52" customFormat="1" ht="15"/>
    <row r="127" s="52" customFormat="1" ht="15"/>
    <row r="128" spans="1:3" s="52" customFormat="1" ht="15.75">
      <c r="A128" s="115"/>
      <c r="B128" s="116"/>
      <c r="C128" s="116"/>
    </row>
    <row r="129" spans="4:7" s="52" customFormat="1" ht="15">
      <c r="D129" s="116"/>
      <c r="E129" s="116"/>
      <c r="F129" s="116"/>
      <c r="G129" s="116"/>
    </row>
    <row r="130" spans="2:3" s="52" customFormat="1" ht="15">
      <c r="B130" s="117"/>
      <c r="C130" s="117"/>
    </row>
    <row r="131" spans="2:7" s="52" customFormat="1" ht="15">
      <c r="B131" s="117"/>
      <c r="C131" s="117"/>
      <c r="D131" s="117"/>
      <c r="E131" s="117"/>
      <c r="F131" s="117"/>
      <c r="G131" s="117"/>
    </row>
    <row r="132" spans="2:7" s="52" customFormat="1" ht="15">
      <c r="B132" s="117"/>
      <c r="C132" s="117"/>
      <c r="D132" s="117"/>
      <c r="E132" s="117"/>
      <c r="F132" s="117"/>
      <c r="G132" s="117"/>
    </row>
    <row r="133" spans="2:7" s="52" customFormat="1" ht="15">
      <c r="B133" s="117"/>
      <c r="C133" s="117"/>
      <c r="D133" s="117"/>
      <c r="E133" s="117"/>
      <c r="F133" s="117"/>
      <c r="G133" s="117"/>
    </row>
    <row r="134" spans="2:7" s="52" customFormat="1" ht="15">
      <c r="B134" s="117"/>
      <c r="C134" s="117"/>
      <c r="D134" s="117"/>
      <c r="E134" s="117"/>
      <c r="F134" s="117"/>
      <c r="G134" s="117"/>
    </row>
    <row r="135" spans="2:7" s="52" customFormat="1" ht="15">
      <c r="B135" s="117"/>
      <c r="C135" s="117"/>
      <c r="D135" s="117"/>
      <c r="E135" s="117"/>
      <c r="F135" s="117"/>
      <c r="G135" s="117"/>
    </row>
    <row r="136" spans="4:7" s="52" customFormat="1" ht="15">
      <c r="D136" s="117"/>
      <c r="E136" s="117"/>
      <c r="F136" s="117"/>
      <c r="G136" s="117"/>
    </row>
    <row r="137" s="52" customFormat="1" ht="15"/>
    <row r="138" s="52" customFormat="1" ht="15"/>
    <row r="139" s="52" customFormat="1" ht="15"/>
    <row r="140" s="52" customFormat="1" ht="15"/>
    <row r="141" s="52" customFormat="1" ht="15"/>
    <row r="142" s="52" customFormat="1" ht="15"/>
    <row r="143" s="52" customFormat="1" ht="15"/>
    <row r="144" s="52" customFormat="1" ht="15"/>
    <row r="145" s="52" customFormat="1" ht="15"/>
    <row r="146" s="52" customFormat="1" ht="15"/>
    <row r="147" s="52" customFormat="1" ht="15"/>
    <row r="148" s="52" customFormat="1" ht="15"/>
    <row r="149" s="52" customFormat="1" ht="15"/>
    <row r="150" s="52" customFormat="1" ht="15"/>
    <row r="151" s="52" customFormat="1" ht="15"/>
    <row r="152" s="52" customFormat="1" ht="15"/>
    <row r="153" s="52" customFormat="1" ht="15"/>
    <row r="154" s="52" customFormat="1" ht="15"/>
    <row r="155" s="52" customFormat="1" ht="15"/>
    <row r="156" s="52" customFormat="1" ht="15"/>
    <row r="157" s="52" customFormat="1" ht="15"/>
    <row r="158" s="52" customFormat="1" ht="15"/>
    <row r="159" s="52" customFormat="1" ht="15"/>
    <row r="160" s="52" customFormat="1" ht="15"/>
    <row r="161" s="52" customFormat="1" ht="15"/>
    <row r="162" s="52" customFormat="1" ht="15"/>
    <row r="163" s="52" customFormat="1" ht="15"/>
    <row r="164" s="52" customFormat="1" ht="15"/>
    <row r="165" s="52" customFormat="1" ht="15"/>
    <row r="166" s="52" customFormat="1" ht="15"/>
    <row r="167" s="52" customFormat="1" ht="15"/>
    <row r="168" s="52" customFormat="1" ht="15"/>
    <row r="169" s="52" customFormat="1" ht="15"/>
    <row r="170" s="52" customFormat="1" ht="15"/>
    <row r="171" s="52" customFormat="1" ht="15"/>
    <row r="172" s="52" customFormat="1" ht="15"/>
    <row r="173" spans="2:3" s="52" customFormat="1" ht="15">
      <c r="B173" s="19"/>
      <c r="C173" s="19"/>
    </row>
  </sheetData>
  <sheetProtection password="D2C3" sheet="1" objects="1" scenarios="1"/>
  <mergeCells count="36">
    <mergeCell ref="H29:M29"/>
    <mergeCell ref="B29:G29"/>
    <mergeCell ref="B28:G28"/>
    <mergeCell ref="H28:M28"/>
    <mergeCell ref="S10:T12"/>
    <mergeCell ref="P10:R12"/>
    <mergeCell ref="D23:G23"/>
    <mergeCell ref="D22:G2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9:T39"/>
    <mergeCell ref="S40:T40"/>
    <mergeCell ref="S35:T35"/>
    <mergeCell ref="S36:T36"/>
    <mergeCell ref="S37:T37"/>
    <mergeCell ref="S38:T38"/>
  </mergeCells>
  <printOptions horizontalCentered="1"/>
  <pageMargins left="0.75" right="0.75" top="1" bottom="1" header="0.5" footer="0.5"/>
  <pageSetup fitToHeight="1" fitToWidth="1" horizontalDpi="600" verticalDpi="600" orientation="portrait" scale="49" r:id="rId2"/>
  <headerFooter alignWithMargins="0">
    <oddFooter>&amp;CPage &amp;P</oddFooter>
  </headerFooter>
  <colBreaks count="1" manualBreakCount="1">
    <brk id="13" max="7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C19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2" max="2" width="21.7109375" style="0" customWidth="1"/>
  </cols>
  <sheetData>
    <row r="2" ht="18">
      <c r="B2" s="1" t="s">
        <v>95</v>
      </c>
    </row>
    <row r="3" ht="18">
      <c r="B3" s="1"/>
    </row>
    <row r="5" spans="2:3" ht="12.75">
      <c r="B5" t="s">
        <v>66</v>
      </c>
      <c r="C5" t="s">
        <v>67</v>
      </c>
    </row>
    <row r="6" spans="2:3" ht="12.75">
      <c r="B6" t="s">
        <v>68</v>
      </c>
      <c r="C6" t="s">
        <v>120</v>
      </c>
    </row>
    <row r="7" spans="2:3" ht="12.75">
      <c r="B7" t="s">
        <v>69</v>
      </c>
      <c r="C7" t="s">
        <v>121</v>
      </c>
    </row>
    <row r="8" spans="2:3" ht="12.75">
      <c r="B8" t="s">
        <v>85</v>
      </c>
      <c r="C8" t="s">
        <v>86</v>
      </c>
    </row>
    <row r="9" spans="2:3" ht="12.75">
      <c r="B9" t="s">
        <v>50</v>
      </c>
      <c r="C9" t="s">
        <v>138</v>
      </c>
    </row>
    <row r="10" spans="2:3" ht="12.75">
      <c r="B10" t="s">
        <v>70</v>
      </c>
      <c r="C10" t="s">
        <v>71</v>
      </c>
    </row>
    <row r="11" spans="2:3" ht="12.75">
      <c r="B11" t="s">
        <v>79</v>
      </c>
      <c r="C11" t="s">
        <v>82</v>
      </c>
    </row>
    <row r="12" spans="2:3" ht="12.75">
      <c r="B12" t="s">
        <v>80</v>
      </c>
      <c r="C12" t="s">
        <v>81</v>
      </c>
    </row>
    <row r="13" spans="2:3" ht="12.75">
      <c r="B13" t="s">
        <v>72</v>
      </c>
      <c r="C13" t="s">
        <v>73</v>
      </c>
    </row>
    <row r="14" spans="2:3" ht="12.75">
      <c r="B14" t="s">
        <v>78</v>
      </c>
      <c r="C14" t="s">
        <v>139</v>
      </c>
    </row>
    <row r="15" spans="2:3" ht="12.75">
      <c r="B15" t="s">
        <v>76</v>
      </c>
      <c r="C15" t="s">
        <v>77</v>
      </c>
    </row>
    <row r="16" spans="2:3" ht="12.75">
      <c r="B16" t="s">
        <v>88</v>
      </c>
      <c r="C16" t="s">
        <v>89</v>
      </c>
    </row>
    <row r="17" spans="2:3" ht="12.75">
      <c r="B17" t="s">
        <v>54</v>
      </c>
      <c r="C17" t="s">
        <v>74</v>
      </c>
    </row>
    <row r="18" spans="2:3" ht="12.75">
      <c r="B18" t="s">
        <v>52</v>
      </c>
      <c r="C18" t="s">
        <v>75</v>
      </c>
    </row>
    <row r="19" spans="2:3" ht="12.75">
      <c r="B19" t="s">
        <v>87</v>
      </c>
      <c r="C19" t="s">
        <v>237</v>
      </c>
    </row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&amp;L&amp;F, &amp;A&amp;R&amp;D,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UDFCD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UDFCD</dc:creator>
  <cp:keywords/>
  <dc:description/>
  <cp:lastModifiedBy>Ken A. MacKenzie</cp:lastModifiedBy>
  <cp:lastPrinted>2005-09-04T14:07:40Z</cp:lastPrinted>
  <dcterms:created xsi:type="dcterms:W3CDTF">2000-03-13T17:48:37Z</dcterms:created>
  <dcterms:modified xsi:type="dcterms:W3CDTF">2005-09-12T16:43:23Z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