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65248" windowWidth="9912" windowHeight="7920" activeTab="0"/>
  </bookViews>
  <sheets>
    <sheet name="Temp Sed Trap Calculations" sheetId="1" r:id="rId1"/>
    <sheet name="lookup_table" sheetId="2" r:id="rId2"/>
  </sheets>
  <definedNames>
    <definedName name="D_size">'lookup_table'!$A$4:$A$16</definedName>
    <definedName name="tablecoefficient_a">'lookup_table'!$C$3:$E$16</definedName>
  </definedNames>
  <calcPr fullCalcOnLoad="1"/>
</workbook>
</file>

<file path=xl/sharedStrings.xml><?xml version="1.0" encoding="utf-8"?>
<sst xmlns="http://schemas.openxmlformats.org/spreadsheetml/2006/main" count="62" uniqueCount="57">
  <si>
    <t>Dam Height (ft)</t>
  </si>
  <si>
    <t>Coefficient a</t>
  </si>
  <si>
    <t>Exponent b</t>
  </si>
  <si>
    <t xml:space="preserve">Metric </t>
  </si>
  <si>
    <t xml:space="preserve">Coefficient a </t>
  </si>
  <si>
    <t>dl = 2m</t>
  </si>
  <si>
    <t>dl = 3m</t>
  </si>
  <si>
    <t>dl= 1m</t>
  </si>
  <si>
    <t>Rock Side Slopes (x:1)</t>
  </si>
  <si>
    <t>Bottom Dam Width (ft)</t>
  </si>
  <si>
    <t>Flow Length dl (m)</t>
  </si>
  <si>
    <t>Soil-Rock Side Slope (x:1)</t>
  </si>
  <si>
    <t>Stage</t>
  </si>
  <si>
    <t>Discharge</t>
  </si>
  <si>
    <t>coef_a</t>
  </si>
  <si>
    <t>coef_b</t>
  </si>
  <si>
    <t>d15</t>
  </si>
  <si>
    <t>L</t>
  </si>
  <si>
    <t>Depth</t>
  </si>
  <si>
    <t>(ft)</t>
  </si>
  <si>
    <t>(m)</t>
  </si>
  <si>
    <t xml:space="preserve">Flow </t>
  </si>
  <si>
    <t>(m^2 / sec)</t>
  </si>
  <si>
    <t>Flow Width</t>
  </si>
  <si>
    <t>cfs</t>
  </si>
  <si>
    <t>Total Flow</t>
  </si>
  <si>
    <t xml:space="preserve"> a</t>
  </si>
  <si>
    <t>Coefficient</t>
  </si>
  <si>
    <t>Exponent</t>
  </si>
  <si>
    <t xml:space="preserve"> b</t>
  </si>
  <si>
    <t>Graphical Method (user input area are shaded in Gray)</t>
  </si>
  <si>
    <t>Governing Equation:  dh/dl = aq^b</t>
  </si>
  <si>
    <t>(cfs)</t>
  </si>
  <si>
    <t>Top Dam Flow Length (ft)</t>
  </si>
  <si>
    <t xml:space="preserve">Temporary Sediment Trap Rock Stage Discharge </t>
  </si>
  <si>
    <t>Rock Diameter D50 (inches)</t>
  </si>
  <si>
    <t>Stone D50 (m)</t>
  </si>
  <si>
    <t>Minimum = 2.0 feet</t>
  </si>
  <si>
    <t>Back slope =</t>
  </si>
  <si>
    <t>Left  =</t>
  </si>
  <si>
    <t>Length =</t>
  </si>
  <si>
    <t>Width =</t>
  </si>
  <si>
    <t>Side Slopes (x:1)</t>
  </si>
  <si>
    <t>Bottom Dimension (ft)</t>
  </si>
  <si>
    <t>Front Slope  =</t>
  </si>
  <si>
    <t>Right =</t>
  </si>
  <si>
    <t>Stage (ft)</t>
  </si>
  <si>
    <t>Area (acres)</t>
  </si>
  <si>
    <t>Area (ft^2)</t>
  </si>
  <si>
    <t>Trapping Area Height (ft)=</t>
  </si>
  <si>
    <t>Storage (ft^3)</t>
  </si>
  <si>
    <t>Storage (acre-ft)</t>
  </si>
  <si>
    <t>Stage Area-Storage Increments (ft)=</t>
  </si>
  <si>
    <t>Max dam height = 5.0 feet</t>
  </si>
  <si>
    <t>Stage Area-Storage Calculations (user input area are shaded in Gray)</t>
  </si>
  <si>
    <t xml:space="preserve">Storage </t>
  </si>
  <si>
    <t>acre-ft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</si>
</sst>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0000000"/>
    <numFmt numFmtId="171" formatCode="0.0000000000"/>
    <numFmt numFmtId="172" formatCode="0.00000000"/>
  </numFmts>
  <fonts count="17">
    <font>
      <sz val="10"/>
      <name val="CG Times"/>
      <family val="0"/>
    </font>
    <font>
      <b/>
      <sz val="10"/>
      <name val="CG Times"/>
      <family val="0"/>
    </font>
    <font>
      <i/>
      <sz val="10"/>
      <name val="CG Times"/>
      <family val="0"/>
    </font>
    <font>
      <b/>
      <i/>
      <sz val="10"/>
      <name val="CG Times"/>
      <family val="0"/>
    </font>
    <font>
      <sz val="10"/>
      <name val="Times New Roman"/>
      <family val="1"/>
    </font>
    <font>
      <sz val="12"/>
      <name val="CG Times"/>
      <family val="1"/>
    </font>
    <font>
      <sz val="10"/>
      <color indexed="9"/>
      <name val="CG Times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b/>
      <sz val="12"/>
      <name val="CG Times"/>
      <family val="1"/>
    </font>
    <font>
      <b/>
      <sz val="12"/>
      <name val="Arial"/>
      <family val="2"/>
    </font>
    <font>
      <b/>
      <u val="single"/>
      <sz val="10"/>
      <color indexed="48"/>
      <name val="CG Times"/>
      <family val="1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8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2" fontId="0" fillId="0" borderId="5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7" fillId="0" borderId="2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6" fillId="2" borderId="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7" fillId="0" borderId="7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167" fontId="0" fillId="0" borderId="8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0" fontId="14" fillId="0" borderId="0" xfId="0" applyFont="1" applyAlignment="1">
      <alignment/>
    </xf>
    <xf numFmtId="0" fontId="15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16" fillId="3" borderId="1" xfId="0" applyNumberFormat="1" applyFont="1" applyFill="1" applyBorder="1" applyAlignment="1">
      <alignment horizontal="center"/>
    </xf>
    <xf numFmtId="2" fontId="16" fillId="3" borderId="2" xfId="0" applyNumberFormat="1" applyFont="1" applyFill="1" applyBorder="1" applyAlignment="1">
      <alignment horizontal="center"/>
    </xf>
    <xf numFmtId="2" fontId="16" fillId="3" borderId="3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3" borderId="1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" fontId="0" fillId="0" borderId="5" xfId="0" applyNumberFormat="1" applyBorder="1" applyAlignment="1">
      <alignment horizontal="center"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4" borderId="5" xfId="0" applyNumberFormat="1" applyFill="1" applyBorder="1" applyAlignment="1">
      <alignment horizontal="center"/>
    </xf>
    <xf numFmtId="167" fontId="0" fillId="4" borderId="2" xfId="0" applyNumberFormat="1" applyFill="1" applyBorder="1" applyAlignment="1">
      <alignment horizontal="center"/>
    </xf>
    <xf numFmtId="167" fontId="0" fillId="4" borderId="3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9" fontId="16" fillId="3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67" fontId="5" fillId="0" borderId="5" xfId="0" applyNumberFormat="1" applyFont="1" applyBorder="1" applyAlignment="1">
      <alignment horizontal="center"/>
    </xf>
    <xf numFmtId="167" fontId="5" fillId="0" borderId="2" xfId="0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72"/>
  <sheetViews>
    <sheetView tabSelected="1" zoomScale="50" zoomScaleNormal="50" workbookViewId="0" topLeftCell="A1">
      <selection activeCell="A1" sqref="A1"/>
    </sheetView>
  </sheetViews>
  <sheetFormatPr defaultColWidth="9.33203125" defaultRowHeight="12.75"/>
  <cols>
    <col min="1" max="1" width="10.16015625" style="0" customWidth="1"/>
    <col min="3" max="3" width="27.5" style="0" bestFit="1" customWidth="1"/>
    <col min="4" max="4" width="11.66015625" style="0" bestFit="1" customWidth="1"/>
    <col min="5" max="5" width="10.16015625" style="0" bestFit="1" customWidth="1"/>
    <col min="6" max="6" width="13.83203125" style="0" bestFit="1" customWidth="1"/>
    <col min="7" max="7" width="10.83203125" style="0" customWidth="1"/>
    <col min="8" max="8" width="12.66015625" style="0" customWidth="1"/>
    <col min="9" max="9" width="11" style="0" bestFit="1" customWidth="1"/>
    <col min="10" max="10" width="17.83203125" style="0" bestFit="1" customWidth="1"/>
    <col min="11" max="11" width="19" style="0" customWidth="1"/>
    <col min="12" max="12" width="17.33203125" style="0" bestFit="1" customWidth="1"/>
    <col min="13" max="13" width="18.83203125" style="0" bestFit="1" customWidth="1"/>
    <col min="14" max="14" width="22.33203125" style="0" bestFit="1" customWidth="1"/>
  </cols>
  <sheetData>
    <row r="1" spans="1:9" ht="17.25">
      <c r="A1" s="50" t="s">
        <v>34</v>
      </c>
      <c r="B1" s="55"/>
      <c r="C1" s="55"/>
      <c r="D1" s="55"/>
      <c r="E1" s="55"/>
      <c r="F1" s="55"/>
      <c r="I1" s="50" t="s">
        <v>54</v>
      </c>
    </row>
    <row r="2" spans="1:6" ht="18" thickBot="1">
      <c r="A2" s="68" t="s">
        <v>30</v>
      </c>
      <c r="B2" s="69"/>
      <c r="C2" s="69"/>
      <c r="D2" s="69"/>
      <c r="E2" s="69"/>
      <c r="F2" s="55"/>
    </row>
    <row r="3" spans="1:12" ht="15.75" thickBot="1">
      <c r="A3" s="39" t="s">
        <v>31</v>
      </c>
      <c r="B3" s="16"/>
      <c r="C3" s="6"/>
      <c r="D3" s="6"/>
      <c r="E3" s="6"/>
      <c r="K3" s="51" t="s">
        <v>49</v>
      </c>
      <c r="L3" s="83">
        <v>5</v>
      </c>
    </row>
    <row r="4" spans="1:12" ht="15.75" thickBot="1">
      <c r="A4" s="33"/>
      <c r="B4" s="16"/>
      <c r="C4" s="6"/>
      <c r="D4" s="6"/>
      <c r="E4" s="6"/>
      <c r="K4" s="51" t="s">
        <v>52</v>
      </c>
      <c r="L4" s="81">
        <v>0.25</v>
      </c>
    </row>
    <row r="5" spans="1:12" ht="15.75" thickBot="1">
      <c r="A5" s="6"/>
      <c r="B5" s="6"/>
      <c r="D5" s="7"/>
      <c r="E5" s="10" t="s">
        <v>3</v>
      </c>
      <c r="L5" s="57"/>
    </row>
    <row r="6" spans="3:12" ht="18" thickBot="1">
      <c r="C6" s="13" t="s">
        <v>0</v>
      </c>
      <c r="D6" s="61">
        <v>5</v>
      </c>
      <c r="E6" s="17">
        <f>D6*0.3048</f>
        <v>1.524</v>
      </c>
      <c r="F6" s="48" t="s">
        <v>53</v>
      </c>
      <c r="J6" s="50" t="s">
        <v>42</v>
      </c>
      <c r="L6" s="57"/>
    </row>
    <row r="7" spans="3:11" ht="15.75" thickBot="1">
      <c r="C7" s="13" t="s">
        <v>33</v>
      </c>
      <c r="D7" s="62">
        <v>3.3</v>
      </c>
      <c r="E7" s="17">
        <f>D7*0.3048</f>
        <v>1.00584</v>
      </c>
      <c r="F7" s="48" t="s">
        <v>37</v>
      </c>
      <c r="J7" s="49" t="s">
        <v>39</v>
      </c>
      <c r="K7" s="82">
        <v>2</v>
      </c>
    </row>
    <row r="8" spans="3:11" ht="15.75" thickBot="1">
      <c r="C8" s="13" t="s">
        <v>8</v>
      </c>
      <c r="D8" s="61">
        <v>1</v>
      </c>
      <c r="E8" s="37"/>
      <c r="J8" s="49" t="s">
        <v>45</v>
      </c>
      <c r="K8" s="82">
        <v>2</v>
      </c>
    </row>
    <row r="9" spans="3:11" ht="15.75" thickBot="1">
      <c r="C9" s="13" t="s">
        <v>35</v>
      </c>
      <c r="D9" s="63">
        <v>6</v>
      </c>
      <c r="E9" s="17">
        <f>(D9/12)*0.3048</f>
        <v>0.1524</v>
      </c>
      <c r="J9" s="49" t="s">
        <v>44</v>
      </c>
      <c r="K9" s="82">
        <v>2</v>
      </c>
    </row>
    <row r="10" spans="3:11" ht="15.75" thickBot="1">
      <c r="C10" s="6"/>
      <c r="D10" s="64"/>
      <c r="E10" s="38"/>
      <c r="J10" s="49" t="s">
        <v>38</v>
      </c>
      <c r="K10" s="81">
        <v>3</v>
      </c>
    </row>
    <row r="11" spans="3:12" ht="15.75" thickBot="1">
      <c r="C11" s="13" t="s">
        <v>9</v>
      </c>
      <c r="D11" s="61">
        <v>10</v>
      </c>
      <c r="E11" s="17">
        <f>(D11)*0.3048</f>
        <v>3.048</v>
      </c>
      <c r="L11" s="66"/>
    </row>
    <row r="12" spans="3:11" ht="18" thickBot="1">
      <c r="C12" s="14" t="s">
        <v>11</v>
      </c>
      <c r="D12" s="65">
        <v>1</v>
      </c>
      <c r="E12" s="12"/>
      <c r="J12" s="50" t="s">
        <v>43</v>
      </c>
      <c r="K12" s="66"/>
    </row>
    <row r="13" spans="1:11" ht="15.75" thickBot="1">
      <c r="A13" s="6"/>
      <c r="B13" s="6"/>
      <c r="C13" s="6"/>
      <c r="D13" s="6"/>
      <c r="E13" s="6"/>
      <c r="F13" s="3"/>
      <c r="G13" s="9"/>
      <c r="H13" s="6"/>
      <c r="I13" s="6"/>
      <c r="J13" s="49" t="s">
        <v>40</v>
      </c>
      <c r="K13" s="82">
        <v>40</v>
      </c>
    </row>
    <row r="14" spans="1:11" ht="15.75" thickBot="1">
      <c r="A14" s="34" t="s">
        <v>18</v>
      </c>
      <c r="B14" s="35" t="s">
        <v>18</v>
      </c>
      <c r="C14" s="35" t="s">
        <v>10</v>
      </c>
      <c r="D14" s="35" t="s">
        <v>27</v>
      </c>
      <c r="E14" s="35" t="s">
        <v>28</v>
      </c>
      <c r="F14" s="35" t="s">
        <v>21</v>
      </c>
      <c r="G14" s="35" t="s">
        <v>23</v>
      </c>
      <c r="H14" s="80" t="s">
        <v>25</v>
      </c>
      <c r="I14" s="6"/>
      <c r="J14" s="49" t="s">
        <v>41</v>
      </c>
      <c r="K14" s="82">
        <v>20</v>
      </c>
    </row>
    <row r="15" spans="1:9" ht="13.5" thickBot="1">
      <c r="A15" s="40" t="s">
        <v>19</v>
      </c>
      <c r="B15" s="41" t="s">
        <v>20</v>
      </c>
      <c r="C15" s="41" t="s">
        <v>20</v>
      </c>
      <c r="D15" s="41" t="s">
        <v>26</v>
      </c>
      <c r="E15" s="41" t="s">
        <v>29</v>
      </c>
      <c r="F15" s="41" t="s">
        <v>22</v>
      </c>
      <c r="G15" s="41" t="s">
        <v>19</v>
      </c>
      <c r="H15" s="20" t="s">
        <v>24</v>
      </c>
      <c r="I15" s="6"/>
    </row>
    <row r="16" spans="1:15" ht="15.75" thickBot="1">
      <c r="A16" s="73">
        <v>0</v>
      </c>
      <c r="B16" s="15">
        <f>A16*0.3048</f>
        <v>0</v>
      </c>
      <c r="C16" s="15">
        <f aca="true" t="shared" si="0" ref="C16:C24">($D$7+2*($D$8*($D$6-A16)))*0.3048</f>
        <v>4.05384</v>
      </c>
      <c r="D16" s="77">
        <f aca="true" t="shared" si="1" ref="D16:D36">FindCoef_a($E$9,C16)</f>
        <v>2.049999952316284</v>
      </c>
      <c r="E16" s="74">
        <f aca="true" t="shared" si="2" ref="E16:E36">FindCoef_b($E$9)</f>
        <v>0.6656763553619385</v>
      </c>
      <c r="F16" s="15">
        <f>(B16/(D16*C16))^(1/E16)</f>
        <v>0</v>
      </c>
      <c r="G16" s="15">
        <f>D11</f>
        <v>10</v>
      </c>
      <c r="H16" s="15">
        <f>(F16*10.764)*G16</f>
        <v>0</v>
      </c>
      <c r="I16" s="6"/>
      <c r="J16" s="56" t="s">
        <v>46</v>
      </c>
      <c r="K16" s="56" t="s">
        <v>48</v>
      </c>
      <c r="L16" s="56" t="s">
        <v>47</v>
      </c>
      <c r="M16" s="56" t="s">
        <v>50</v>
      </c>
      <c r="N16" s="56" t="s">
        <v>51</v>
      </c>
      <c r="O16" s="58"/>
    </row>
    <row r="17" spans="1:14" ht="12.75">
      <c r="A17" s="26">
        <f>IF(A16&lt;$D$6,A16+0.25,IF(A16=$D$6,0))</f>
        <v>0.25</v>
      </c>
      <c r="B17" s="11">
        <f>A17*0.3048</f>
        <v>0.0762</v>
      </c>
      <c r="C17" s="11">
        <f t="shared" si="0"/>
        <v>3.9014400000000005</v>
      </c>
      <c r="D17" s="78">
        <f t="shared" si="1"/>
        <v>2.049999952316284</v>
      </c>
      <c r="E17" s="75">
        <f t="shared" si="2"/>
        <v>0.6656763553619385</v>
      </c>
      <c r="F17" s="11">
        <f>((B17-B16)/(D17*C17))^(1/E17)</f>
        <v>0.0009203527971995741</v>
      </c>
      <c r="G17" s="46">
        <f aca="true" t="shared" si="3" ref="G17:G24">$D$11+2*($D$12*A17)</f>
        <v>10.5</v>
      </c>
      <c r="H17" s="11">
        <f>(F17*10.764)*G17</f>
        <v>0.10402011384509026</v>
      </c>
      <c r="I17" s="6"/>
      <c r="J17" s="42">
        <v>0</v>
      </c>
      <c r="K17" s="67">
        <f>K13*K14</f>
        <v>800</v>
      </c>
      <c r="L17" s="21">
        <f>K17/43560</f>
        <v>0.018365472910927456</v>
      </c>
      <c r="M17" s="67">
        <v>0</v>
      </c>
      <c r="N17" s="52">
        <v>0</v>
      </c>
    </row>
    <row r="18" spans="1:14" ht="12.75">
      <c r="A18" s="26">
        <f>IF(A17=0,0,(IF(A17=$D$6,0,IF(A17&lt;$D$6,A17+0.25))))</f>
        <v>0.5</v>
      </c>
      <c r="B18" s="11">
        <f aca="true" t="shared" si="4" ref="B18:B36">A18*0.3048</f>
        <v>0.1524</v>
      </c>
      <c r="C18" s="11">
        <f t="shared" si="0"/>
        <v>3.7490400000000004</v>
      </c>
      <c r="D18" s="78">
        <f t="shared" si="1"/>
        <v>2.049999952316284</v>
      </c>
      <c r="E18" s="75">
        <f t="shared" si="2"/>
        <v>0.6656763553619385</v>
      </c>
      <c r="F18" s="11">
        <f aca="true" t="shared" si="5" ref="F18:F24">(B18/(D18*C18))^(1/E18)</f>
        <v>0.002768005740705757</v>
      </c>
      <c r="G18" s="46">
        <f t="shared" si="3"/>
        <v>11</v>
      </c>
      <c r="H18" s="11">
        <f aca="true" t="shared" si="6" ref="H18:H24">(F18*10.764)*G18</f>
        <v>0.3277429517225245</v>
      </c>
      <c r="I18" s="6"/>
      <c r="J18" s="24">
        <f aca="true" t="shared" si="7" ref="J18:J27">IF(J17&lt;$L$3,J17+$L$4,"Over top")</f>
        <v>0.25</v>
      </c>
      <c r="K18" s="59">
        <f aca="true" t="shared" si="8" ref="K18:K42">IF(J17&lt;$L$3,($K$13+$K$9*(J18-$J$17)+$K$10*(J18-$J$17))*($K$14+$K$7*(J18-$J$17)+$K$8*(J18-$J$17))," ")</f>
        <v>866.25</v>
      </c>
      <c r="L18" s="22">
        <f aca="true" t="shared" si="9" ref="L18:L28">IF(J17&lt;$L$3,K18/43560," ")</f>
        <v>0.019886363636363636</v>
      </c>
      <c r="M18" s="59">
        <f aca="true" t="shared" si="10" ref="M18:M28">IF(J17&lt;$L$3,M17+(K17+K18)/2*(J18-J17)," ")</f>
        <v>208.28125</v>
      </c>
      <c r="N18" s="53">
        <f aca="true" t="shared" si="11" ref="N18:N28">IF(J17&lt;$L$3,M18/43560," ")</f>
        <v>0.0047814795684113865</v>
      </c>
    </row>
    <row r="19" spans="1:14" ht="12.75">
      <c r="A19" s="26">
        <f aca="true" t="shared" si="12" ref="A19:A32">IF(A18=0,0,(IF(A18=$D$6,0,IF(A18&lt;$D$6,A18+0.25))))</f>
        <v>0.75</v>
      </c>
      <c r="B19" s="11">
        <f t="shared" si="4"/>
        <v>0.22860000000000003</v>
      </c>
      <c r="C19" s="11">
        <f t="shared" si="0"/>
        <v>3.5966400000000003</v>
      </c>
      <c r="D19" s="78">
        <f t="shared" si="1"/>
        <v>2.049999952316284</v>
      </c>
      <c r="E19" s="75">
        <f t="shared" si="2"/>
        <v>0.6656763553619385</v>
      </c>
      <c r="F19" s="11">
        <f t="shared" si="5"/>
        <v>0.0054171604670323415</v>
      </c>
      <c r="G19" s="46">
        <f t="shared" si="3"/>
        <v>11.5</v>
      </c>
      <c r="H19" s="11">
        <f t="shared" si="6"/>
        <v>0.6705686255720654</v>
      </c>
      <c r="I19" s="6"/>
      <c r="J19" s="24">
        <f t="shared" si="7"/>
        <v>0.5</v>
      </c>
      <c r="K19" s="59">
        <f t="shared" si="8"/>
        <v>935</v>
      </c>
      <c r="L19" s="22">
        <f t="shared" si="9"/>
        <v>0.021464646464646464</v>
      </c>
      <c r="M19" s="59">
        <f t="shared" si="10"/>
        <v>433.4375</v>
      </c>
      <c r="N19" s="53">
        <f t="shared" si="11"/>
        <v>0.00995035583103765</v>
      </c>
    </row>
    <row r="20" spans="1:14" ht="12.75">
      <c r="A20" s="26">
        <f t="shared" si="12"/>
        <v>1</v>
      </c>
      <c r="B20" s="11">
        <f t="shared" si="4"/>
        <v>0.3048</v>
      </c>
      <c r="C20" s="11">
        <f t="shared" si="0"/>
        <v>3.44424</v>
      </c>
      <c r="D20" s="78">
        <f t="shared" si="1"/>
        <v>2.049999952316284</v>
      </c>
      <c r="E20" s="75">
        <f t="shared" si="2"/>
        <v>0.6656763553619385</v>
      </c>
      <c r="F20" s="11">
        <f t="shared" si="5"/>
        <v>0.008906476251540351</v>
      </c>
      <c r="G20" s="46">
        <f t="shared" si="3"/>
        <v>12</v>
      </c>
      <c r="H20" s="11">
        <f t="shared" si="6"/>
        <v>1.1504317244589641</v>
      </c>
      <c r="I20" s="6"/>
      <c r="J20" s="24">
        <f t="shared" si="7"/>
        <v>0.75</v>
      </c>
      <c r="K20" s="59">
        <f t="shared" si="8"/>
        <v>1006.25</v>
      </c>
      <c r="L20" s="22">
        <f t="shared" si="9"/>
        <v>0.02310032139577594</v>
      </c>
      <c r="M20" s="59">
        <f t="shared" si="10"/>
        <v>676.09375</v>
      </c>
      <c r="N20" s="53">
        <f t="shared" si="11"/>
        <v>0.01552097681359045</v>
      </c>
    </row>
    <row r="21" spans="1:14" ht="12.75">
      <c r="A21" s="26">
        <f t="shared" si="12"/>
        <v>1.25</v>
      </c>
      <c r="B21" s="11">
        <f t="shared" si="4"/>
        <v>0.381</v>
      </c>
      <c r="C21" s="11">
        <f t="shared" si="0"/>
        <v>3.2918400000000005</v>
      </c>
      <c r="D21" s="78">
        <f t="shared" si="1"/>
        <v>2.049999952316284</v>
      </c>
      <c r="E21" s="75">
        <f t="shared" si="2"/>
        <v>0.6656763553619385</v>
      </c>
      <c r="F21" s="11">
        <f t="shared" si="5"/>
        <v>0.013329476141431474</v>
      </c>
      <c r="G21" s="46">
        <f t="shared" si="3"/>
        <v>12.5</v>
      </c>
      <c r="H21" s="11">
        <f t="shared" si="6"/>
        <v>1.7934810148296048</v>
      </c>
      <c r="I21" s="6"/>
      <c r="J21" s="24">
        <f t="shared" si="7"/>
        <v>1</v>
      </c>
      <c r="K21" s="59">
        <f t="shared" si="8"/>
        <v>1080</v>
      </c>
      <c r="L21" s="22">
        <f t="shared" si="9"/>
        <v>0.024793388429752067</v>
      </c>
      <c r="M21" s="59">
        <f t="shared" si="10"/>
        <v>936.875</v>
      </c>
      <c r="N21" s="53">
        <f t="shared" si="11"/>
        <v>0.021507690541781452</v>
      </c>
    </row>
    <row r="22" spans="1:14" ht="12.75">
      <c r="A22" s="26">
        <f t="shared" si="12"/>
        <v>1.5</v>
      </c>
      <c r="B22" s="11">
        <f t="shared" si="4"/>
        <v>0.45720000000000005</v>
      </c>
      <c r="C22" s="11">
        <f t="shared" si="0"/>
        <v>3.1394400000000005</v>
      </c>
      <c r="D22" s="78">
        <f t="shared" si="1"/>
        <v>2.049999952316284</v>
      </c>
      <c r="E22" s="75">
        <f t="shared" si="2"/>
        <v>0.6656763553619385</v>
      </c>
      <c r="F22" s="11">
        <f t="shared" si="5"/>
        <v>0.018822936633445975</v>
      </c>
      <c r="G22" s="46">
        <f t="shared" si="3"/>
        <v>13</v>
      </c>
      <c r="H22" s="11">
        <f t="shared" si="6"/>
        <v>2.6339311689913623</v>
      </c>
      <c r="I22" s="6"/>
      <c r="J22" s="24">
        <f t="shared" si="7"/>
        <v>1.25</v>
      </c>
      <c r="K22" s="59">
        <f t="shared" si="8"/>
        <v>1156.25</v>
      </c>
      <c r="L22" s="22">
        <f t="shared" si="9"/>
        <v>0.026543847566574838</v>
      </c>
      <c r="M22" s="59">
        <f t="shared" si="10"/>
        <v>1216.40625</v>
      </c>
      <c r="N22" s="53">
        <f t="shared" si="11"/>
        <v>0.027924845041322314</v>
      </c>
    </row>
    <row r="23" spans="1:14" ht="12.75">
      <c r="A23" s="26">
        <f t="shared" si="12"/>
        <v>1.75</v>
      </c>
      <c r="B23" s="11">
        <f t="shared" si="4"/>
        <v>0.5334</v>
      </c>
      <c r="C23" s="11">
        <f t="shared" si="0"/>
        <v>2.9870400000000004</v>
      </c>
      <c r="D23" s="78">
        <f t="shared" si="1"/>
        <v>1.8051326274871826</v>
      </c>
      <c r="E23" s="75">
        <f t="shared" si="2"/>
        <v>0.6656763553619385</v>
      </c>
      <c r="F23" s="11">
        <f t="shared" si="5"/>
        <v>0.030953679986089243</v>
      </c>
      <c r="G23" s="46">
        <f t="shared" si="3"/>
        <v>13.5</v>
      </c>
      <c r="H23" s="11">
        <f t="shared" si="6"/>
        <v>4.4980030534985715</v>
      </c>
      <c r="I23" s="6"/>
      <c r="J23" s="24">
        <f t="shared" si="7"/>
        <v>1.5</v>
      </c>
      <c r="K23" s="59">
        <f t="shared" si="8"/>
        <v>1235</v>
      </c>
      <c r="L23" s="22">
        <f t="shared" si="9"/>
        <v>0.02835169880624426</v>
      </c>
      <c r="M23" s="59">
        <f t="shared" si="10"/>
        <v>1515.3125</v>
      </c>
      <c r="N23" s="53">
        <f>IF(J22&lt;$L$3,M23/43560," ")</f>
        <v>0.0347867883379247</v>
      </c>
    </row>
    <row r="24" spans="1:14" ht="12.75">
      <c r="A24" s="26">
        <f t="shared" si="12"/>
        <v>2</v>
      </c>
      <c r="B24" s="11">
        <f t="shared" si="4"/>
        <v>0.6096</v>
      </c>
      <c r="C24" s="11">
        <f t="shared" si="0"/>
        <v>2.8346400000000003</v>
      </c>
      <c r="D24" s="78">
        <f t="shared" si="1"/>
        <v>1.8833626508712769</v>
      </c>
      <c r="E24" s="75">
        <f t="shared" si="2"/>
        <v>0.6656763553619385</v>
      </c>
      <c r="F24" s="11">
        <f t="shared" si="5"/>
        <v>0.03839871485292338</v>
      </c>
      <c r="G24" s="46">
        <f t="shared" si="3"/>
        <v>14</v>
      </c>
      <c r="H24" s="11">
        <f t="shared" si="6"/>
        <v>5.786532733476141</v>
      </c>
      <c r="I24" s="6"/>
      <c r="J24" s="24">
        <f t="shared" si="7"/>
        <v>1.75</v>
      </c>
      <c r="K24" s="59">
        <f t="shared" si="8"/>
        <v>1316.25</v>
      </c>
      <c r="L24" s="22">
        <f t="shared" si="9"/>
        <v>0.03021694214876033</v>
      </c>
      <c r="M24" s="59">
        <f t="shared" si="10"/>
        <v>1834.21875</v>
      </c>
      <c r="N24" s="53">
        <f t="shared" si="11"/>
        <v>0.042107868457300274</v>
      </c>
    </row>
    <row r="25" spans="1:14" ht="12.75">
      <c r="A25" s="26">
        <f t="shared" si="12"/>
        <v>2.25</v>
      </c>
      <c r="B25" s="11">
        <f t="shared" si="4"/>
        <v>0.6858000000000001</v>
      </c>
      <c r="C25" s="11">
        <f aca="true" t="shared" si="13" ref="C25:C32">($D$7+2*($D$8*($D$6-A25)))*0.3048</f>
        <v>2.68224</v>
      </c>
      <c r="D25" s="78">
        <f t="shared" si="1"/>
        <v>1.9615925550460815</v>
      </c>
      <c r="E25" s="75">
        <f t="shared" si="2"/>
        <v>0.6656763553619385</v>
      </c>
      <c r="F25" s="11">
        <f aca="true" t="shared" si="14" ref="F25:F32">(B25/(D25*C25))^(1/E25)</f>
        <v>0.04684485233255703</v>
      </c>
      <c r="G25" s="46">
        <f aca="true" t="shared" si="15" ref="G25:G32">$D$11+2*($D$12*A25)</f>
        <v>14.5</v>
      </c>
      <c r="H25" s="11">
        <f aca="true" t="shared" si="16" ref="H25:H32">(F25*10.764)*G25</f>
        <v>7.311450862360836</v>
      </c>
      <c r="I25" s="6"/>
      <c r="J25" s="24">
        <f t="shared" si="7"/>
        <v>2</v>
      </c>
      <c r="K25" s="59">
        <f t="shared" si="8"/>
        <v>1400</v>
      </c>
      <c r="L25" s="22">
        <f t="shared" si="9"/>
        <v>0.03213957759412305</v>
      </c>
      <c r="M25" s="59">
        <f t="shared" si="10"/>
        <v>2173.75</v>
      </c>
      <c r="N25" s="53">
        <f t="shared" si="11"/>
        <v>0.0499024334251607</v>
      </c>
    </row>
    <row r="26" spans="1:14" ht="12.75">
      <c r="A26" s="26">
        <f t="shared" si="12"/>
        <v>2.5</v>
      </c>
      <c r="B26" s="11">
        <f t="shared" si="4"/>
        <v>0.762</v>
      </c>
      <c r="C26" s="11">
        <f t="shared" si="13"/>
        <v>2.5298400000000005</v>
      </c>
      <c r="D26" s="78">
        <f t="shared" si="1"/>
        <v>2.039822578430176</v>
      </c>
      <c r="E26" s="75">
        <f t="shared" si="2"/>
        <v>0.6656763553619385</v>
      </c>
      <c r="F26" s="11">
        <f t="shared" si="14"/>
        <v>0.05650026630291013</v>
      </c>
      <c r="G26" s="46">
        <f t="shared" si="15"/>
        <v>15</v>
      </c>
      <c r="H26" s="11">
        <f t="shared" si="16"/>
        <v>9.12253299726787</v>
      </c>
      <c r="I26" s="6"/>
      <c r="J26" s="24">
        <f t="shared" si="7"/>
        <v>2.25</v>
      </c>
      <c r="K26" s="59">
        <f t="shared" si="8"/>
        <v>1486.25</v>
      </c>
      <c r="L26" s="22">
        <f t="shared" si="9"/>
        <v>0.034119605142332414</v>
      </c>
      <c r="M26" s="59">
        <f t="shared" si="10"/>
        <v>2534.53125</v>
      </c>
      <c r="N26" s="53">
        <f t="shared" si="11"/>
        <v>0.05818483126721763</v>
      </c>
    </row>
    <row r="27" spans="1:14" ht="12.75">
      <c r="A27" s="26">
        <f t="shared" si="12"/>
        <v>2.75</v>
      </c>
      <c r="B27" s="11">
        <f t="shared" si="4"/>
        <v>0.8382000000000001</v>
      </c>
      <c r="C27" s="11">
        <f t="shared" si="13"/>
        <v>2.37744</v>
      </c>
      <c r="D27" s="78">
        <f t="shared" si="1"/>
        <v>2.1180524826049805</v>
      </c>
      <c r="E27" s="75">
        <f t="shared" si="2"/>
        <v>0.6656763553619385</v>
      </c>
      <c r="F27" s="11">
        <f t="shared" si="14"/>
        <v>0.06764167962008924</v>
      </c>
      <c r="G27" s="46">
        <f t="shared" si="15"/>
        <v>15.5</v>
      </c>
      <c r="H27" s="11">
        <f t="shared" si="16"/>
        <v>11.285473111174928</v>
      </c>
      <c r="I27" s="6"/>
      <c r="J27" s="24">
        <f t="shared" si="7"/>
        <v>2.5</v>
      </c>
      <c r="K27" s="59">
        <f t="shared" si="8"/>
        <v>1575</v>
      </c>
      <c r="L27" s="22">
        <f t="shared" si="9"/>
        <v>0.03615702479338843</v>
      </c>
      <c r="M27" s="59">
        <f>IF(J26&lt;$L$3,M26+(K26+K27)/2*(J27-J26)," ")</f>
        <v>2917.1875</v>
      </c>
      <c r="N27" s="53">
        <f t="shared" si="11"/>
        <v>0.06696941000918273</v>
      </c>
    </row>
    <row r="28" spans="1:14" ht="12.75">
      <c r="A28" s="26">
        <f t="shared" si="12"/>
        <v>3</v>
      </c>
      <c r="B28" s="11">
        <f t="shared" si="4"/>
        <v>0.9144000000000001</v>
      </c>
      <c r="C28" s="11">
        <f t="shared" si="13"/>
        <v>2.22504</v>
      </c>
      <c r="D28" s="78">
        <f t="shared" si="1"/>
        <v>2.196282386779785</v>
      </c>
      <c r="E28" s="75">
        <f t="shared" si="2"/>
        <v>0.6656763553619385</v>
      </c>
      <c r="F28" s="11">
        <f t="shared" si="14"/>
        <v>0.08063823745108177</v>
      </c>
      <c r="G28" s="46">
        <f t="shared" si="15"/>
        <v>16</v>
      </c>
      <c r="H28" s="11">
        <f t="shared" si="16"/>
        <v>13.887839806775107</v>
      </c>
      <c r="I28" s="6"/>
      <c r="J28" s="24">
        <f>IF(J27&lt;$L$3,J27+$L$4,"Overtop")</f>
        <v>2.75</v>
      </c>
      <c r="K28" s="59">
        <f t="shared" si="8"/>
        <v>1666.25</v>
      </c>
      <c r="L28" s="22">
        <f t="shared" si="9"/>
        <v>0.03825183654729109</v>
      </c>
      <c r="M28" s="59">
        <f t="shared" si="10"/>
        <v>3322.34375</v>
      </c>
      <c r="N28" s="53">
        <f t="shared" si="11"/>
        <v>0.07627051767676768</v>
      </c>
    </row>
    <row r="29" spans="1:14" ht="12.75">
      <c r="A29" s="26">
        <f t="shared" si="12"/>
        <v>3.25</v>
      </c>
      <c r="B29" s="11">
        <f t="shared" si="4"/>
        <v>0.9906</v>
      </c>
      <c r="C29" s="11">
        <f t="shared" si="13"/>
        <v>2.0726400000000003</v>
      </c>
      <c r="D29" s="78">
        <f t="shared" si="1"/>
        <v>2.274512529373169</v>
      </c>
      <c r="E29" s="75">
        <f t="shared" si="2"/>
        <v>0.6656763553619385</v>
      </c>
      <c r="F29" s="11">
        <f t="shared" si="14"/>
        <v>0.09598807662743002</v>
      </c>
      <c r="G29" s="46">
        <f t="shared" si="15"/>
        <v>16.5</v>
      </c>
      <c r="H29" s="11">
        <f t="shared" si="16"/>
        <v>17.048058337491337</v>
      </c>
      <c r="I29" s="6"/>
      <c r="J29" s="24">
        <f aca="true" t="shared" si="17" ref="J29:J42">IF(J28&lt;$L$3,J28+$L$4,"Overtop")</f>
        <v>3</v>
      </c>
      <c r="K29" s="59">
        <f t="shared" si="8"/>
        <v>1760</v>
      </c>
      <c r="L29" s="22">
        <f aca="true" t="shared" si="18" ref="L29:L42">IF(J28&lt;$L$3,K29/43560," ")</f>
        <v>0.04040404040404041</v>
      </c>
      <c r="M29" s="59">
        <f aca="true" t="shared" si="19" ref="M29:M42">IF(J28&lt;$L$3,M28+(K28+K29)/2*(J29-J28)," ")</f>
        <v>3750.625</v>
      </c>
      <c r="N29" s="53">
        <f aca="true" t="shared" si="20" ref="N29:N42">IF(J28&lt;$L$3,M29/43560," ")</f>
        <v>0.08610250229568411</v>
      </c>
    </row>
    <row r="30" spans="1:14" ht="12.75">
      <c r="A30" s="26">
        <f t="shared" si="12"/>
        <v>3.5</v>
      </c>
      <c r="B30" s="11">
        <f t="shared" si="4"/>
        <v>1.0668</v>
      </c>
      <c r="C30" s="11">
        <f t="shared" si="13"/>
        <v>1.92024</v>
      </c>
      <c r="D30" s="78">
        <f t="shared" si="1"/>
        <v>2.4179511070251465</v>
      </c>
      <c r="E30" s="75">
        <f t="shared" si="2"/>
        <v>0.6656763553619385</v>
      </c>
      <c r="F30" s="11">
        <f t="shared" si="14"/>
        <v>0.10977277842350948</v>
      </c>
      <c r="G30" s="46">
        <f t="shared" si="15"/>
        <v>17</v>
      </c>
      <c r="H30" s="11">
        <f t="shared" si="16"/>
        <v>20.08710117816115</v>
      </c>
      <c r="I30" s="6"/>
      <c r="J30" s="24">
        <f t="shared" si="17"/>
        <v>3.25</v>
      </c>
      <c r="K30" s="59">
        <f t="shared" si="8"/>
        <v>1856.25</v>
      </c>
      <c r="L30" s="22">
        <f t="shared" si="18"/>
        <v>0.04261363636363636</v>
      </c>
      <c r="M30" s="59">
        <f t="shared" si="19"/>
        <v>4202.65625</v>
      </c>
      <c r="N30" s="53">
        <f t="shared" si="20"/>
        <v>0.09647971189164371</v>
      </c>
    </row>
    <row r="31" spans="1:14" ht="12.75">
      <c r="A31" s="26">
        <f t="shared" si="12"/>
        <v>3.75</v>
      </c>
      <c r="B31" s="11">
        <f t="shared" si="4"/>
        <v>1.143</v>
      </c>
      <c r="C31" s="11">
        <f t="shared" si="13"/>
        <v>1.76784</v>
      </c>
      <c r="D31" s="78">
        <f t="shared" si="1"/>
        <v>2.620777130126953</v>
      </c>
      <c r="E31" s="75">
        <f t="shared" si="2"/>
        <v>0.6656763553619385</v>
      </c>
      <c r="F31" s="11">
        <f t="shared" si="14"/>
        <v>0.12215279286361445</v>
      </c>
      <c r="G31" s="46">
        <f t="shared" si="15"/>
        <v>17.5</v>
      </c>
      <c r="H31" s="11">
        <f t="shared" si="16"/>
        <v>23.009921591719053</v>
      </c>
      <c r="I31" s="6"/>
      <c r="J31" s="24">
        <f t="shared" si="17"/>
        <v>3.5</v>
      </c>
      <c r="K31" s="59">
        <f t="shared" si="8"/>
        <v>1955</v>
      </c>
      <c r="L31" s="22">
        <f t="shared" si="18"/>
        <v>0.04488062442607897</v>
      </c>
      <c r="M31" s="59">
        <f t="shared" si="19"/>
        <v>4679.0625</v>
      </c>
      <c r="N31" s="53">
        <f t="shared" si="20"/>
        <v>0.10741649449035813</v>
      </c>
    </row>
    <row r="32" spans="1:14" ht="12.75">
      <c r="A32" s="26">
        <f t="shared" si="12"/>
        <v>4</v>
      </c>
      <c r="B32" s="11">
        <f t="shared" si="4"/>
        <v>1.2192</v>
      </c>
      <c r="C32" s="11">
        <f t="shared" si="13"/>
        <v>1.61544</v>
      </c>
      <c r="D32" s="78">
        <f t="shared" si="1"/>
        <v>2.823603391647339</v>
      </c>
      <c r="E32" s="75">
        <f t="shared" si="2"/>
        <v>0.6656763553619385</v>
      </c>
      <c r="F32" s="11">
        <f t="shared" si="14"/>
        <v>0.13778182671002387</v>
      </c>
      <c r="G32" s="46">
        <f t="shared" si="15"/>
        <v>18</v>
      </c>
      <c r="H32" s="11">
        <f t="shared" si="16"/>
        <v>26.695504488720545</v>
      </c>
      <c r="I32" s="6"/>
      <c r="J32" s="24">
        <f t="shared" si="17"/>
        <v>3.75</v>
      </c>
      <c r="K32" s="59">
        <f t="shared" si="8"/>
        <v>2056.25</v>
      </c>
      <c r="L32" s="22">
        <f t="shared" si="18"/>
        <v>0.04720500459136823</v>
      </c>
      <c r="M32" s="59">
        <f t="shared" si="19"/>
        <v>5180.46875</v>
      </c>
      <c r="N32" s="53">
        <f t="shared" si="20"/>
        <v>0.11892719811753903</v>
      </c>
    </row>
    <row r="33" spans="1:14" ht="12.75">
      <c r="A33" s="26">
        <f>IF(A32=0,0,(IF(A32=$D$6,0,IF(A32&lt;$D$6,A32+0.25))))</f>
        <v>4.25</v>
      </c>
      <c r="B33" s="11">
        <f t="shared" si="4"/>
        <v>1.2954</v>
      </c>
      <c r="C33" s="11">
        <f>($D$7+2*($D$8*($D$6-A33)))*0.3048</f>
        <v>1.4630400000000001</v>
      </c>
      <c r="D33" s="78">
        <f t="shared" si="1"/>
        <v>3.0264294147491455</v>
      </c>
      <c r="E33" s="75">
        <f t="shared" si="2"/>
        <v>0.6656763553619385</v>
      </c>
      <c r="F33" s="11">
        <f>(B33/(D33*C33))^(1/E33)</f>
        <v>0.15781001837604272</v>
      </c>
      <c r="G33" s="46">
        <f>$D$11+2*($D$12*A33)</f>
        <v>18.5</v>
      </c>
      <c r="H33" s="11">
        <f>(F33*10.764)*G33</f>
        <v>31.42534019929489</v>
      </c>
      <c r="I33" s="6"/>
      <c r="J33" s="24">
        <f t="shared" si="17"/>
        <v>4</v>
      </c>
      <c r="K33" s="59">
        <f t="shared" si="8"/>
        <v>2160</v>
      </c>
      <c r="L33" s="22">
        <f t="shared" si="18"/>
        <v>0.049586776859504134</v>
      </c>
      <c r="M33" s="59">
        <f t="shared" si="19"/>
        <v>5707.5</v>
      </c>
      <c r="N33" s="53">
        <f t="shared" si="20"/>
        <v>0.13102617079889808</v>
      </c>
    </row>
    <row r="34" spans="1:14" ht="12.75">
      <c r="A34" s="26">
        <f>IF(A33=0,0,(IF(A33=$D$6,0,IF(A33&lt;$D$6,A33+0.25))))</f>
        <v>4.5</v>
      </c>
      <c r="B34" s="11">
        <f t="shared" si="4"/>
        <v>1.3716000000000002</v>
      </c>
      <c r="C34" s="11">
        <f>($D$7+2*($D$8*($D$6-A34)))*0.3048</f>
        <v>1.31064</v>
      </c>
      <c r="D34" s="78">
        <f t="shared" si="1"/>
        <v>3.229255437850952</v>
      </c>
      <c r="E34" s="75">
        <f t="shared" si="2"/>
        <v>0.6656763553619385</v>
      </c>
      <c r="F34" s="11">
        <f>(B34/(D34*C34))^(1/E34)</f>
        <v>0.18402230970143288</v>
      </c>
      <c r="G34" s="46">
        <f>$D$11+2*($D$12*A34)</f>
        <v>19</v>
      </c>
      <c r="H34" s="11">
        <f>(F34*10.764)*G34</f>
        <v>37.63550669089825</v>
      </c>
      <c r="I34" s="6"/>
      <c r="J34" s="24">
        <f t="shared" si="17"/>
        <v>4.25</v>
      </c>
      <c r="K34" s="59">
        <f t="shared" si="8"/>
        <v>2266.25</v>
      </c>
      <c r="L34" s="22">
        <f t="shared" si="18"/>
        <v>0.052025941230486684</v>
      </c>
      <c r="M34" s="59">
        <f t="shared" si="19"/>
        <v>6260.78125</v>
      </c>
      <c r="N34" s="53">
        <f t="shared" si="20"/>
        <v>0.1437277605601469</v>
      </c>
    </row>
    <row r="35" spans="1:14" ht="12.75">
      <c r="A35" s="26">
        <f>IF(A34=0,0,(IF(A34=$D$6,0,IF(A34&lt;$D$6,A34+0.25))))</f>
        <v>4.75</v>
      </c>
      <c r="B35" s="11">
        <f t="shared" si="4"/>
        <v>1.4478</v>
      </c>
      <c r="C35" s="11">
        <f>($D$7+2*($D$8*($D$6-A35)))*0.3048</f>
        <v>1.15824</v>
      </c>
      <c r="D35" s="78">
        <f t="shared" si="1"/>
        <v>3.432081699371338</v>
      </c>
      <c r="E35" s="75">
        <f t="shared" si="2"/>
        <v>0.6656763553619385</v>
      </c>
      <c r="F35" s="11">
        <f>(B35/(D35*C35))^(1/E35)</f>
        <v>0.21930561152506278</v>
      </c>
      <c r="G35" s="46">
        <f>$D$11+2*($D$12*A35)</f>
        <v>19.5</v>
      </c>
      <c r="H35" s="11">
        <f>(F35*10.764)*G35</f>
        <v>46.03180924788762</v>
      </c>
      <c r="I35" s="6"/>
      <c r="J35" s="24">
        <f t="shared" si="17"/>
        <v>4.5</v>
      </c>
      <c r="K35" s="59">
        <f t="shared" si="8"/>
        <v>2375</v>
      </c>
      <c r="L35" s="22">
        <f t="shared" si="18"/>
        <v>0.054522497704315886</v>
      </c>
      <c r="M35" s="59">
        <f t="shared" si="19"/>
        <v>6840.9375</v>
      </c>
      <c r="N35" s="53">
        <f t="shared" si="20"/>
        <v>0.15704631542699724</v>
      </c>
    </row>
    <row r="36" spans="1:14" ht="13.5" thickBot="1">
      <c r="A36" s="27">
        <f>IF(A35=0,0,(IF(A35=$D$6,0,IF(A35&lt;$D$6,A35+0.25))))</f>
        <v>5</v>
      </c>
      <c r="B36" s="12">
        <f t="shared" si="4"/>
        <v>1.524</v>
      </c>
      <c r="C36" s="12">
        <f>($D$7+2*($D$8*($D$6-A36)))*0.3048</f>
        <v>1.00584</v>
      </c>
      <c r="D36" s="79">
        <f t="shared" si="1"/>
        <v>3.6349077224731445</v>
      </c>
      <c r="E36" s="76">
        <f t="shared" si="2"/>
        <v>0.6656763553619385</v>
      </c>
      <c r="F36" s="12">
        <f>(B36/(D36*C36))^(1/E36)</f>
        <v>0.2685937807362552</v>
      </c>
      <c r="G36" s="47">
        <f>$D$11+2*($D$12*A36)</f>
        <v>20</v>
      </c>
      <c r="H36" s="12">
        <f>(F36*10.764)*G36</f>
        <v>57.82286911690102</v>
      </c>
      <c r="I36" s="6"/>
      <c r="J36" s="24">
        <f t="shared" si="17"/>
        <v>4.75</v>
      </c>
      <c r="K36" s="59">
        <f t="shared" si="8"/>
        <v>2486.25</v>
      </c>
      <c r="L36" s="22">
        <f t="shared" si="18"/>
        <v>0.05707644628099173</v>
      </c>
      <c r="M36" s="59">
        <f t="shared" si="19"/>
        <v>7448.59375</v>
      </c>
      <c r="N36" s="53">
        <f t="shared" si="20"/>
        <v>0.1709961834251607</v>
      </c>
    </row>
    <row r="37" spans="1:14" ht="12.75">
      <c r="A37" s="70"/>
      <c r="B37" s="3"/>
      <c r="C37" s="3"/>
      <c r="D37" s="71"/>
      <c r="E37" s="72"/>
      <c r="F37" s="3"/>
      <c r="G37" s="70"/>
      <c r="H37" s="3"/>
      <c r="I37" s="6"/>
      <c r="J37" s="24">
        <f t="shared" si="17"/>
        <v>5</v>
      </c>
      <c r="K37" s="59">
        <f t="shared" si="8"/>
        <v>2600</v>
      </c>
      <c r="L37" s="22">
        <f t="shared" si="18"/>
        <v>0.05968778696051423</v>
      </c>
      <c r="M37" s="59">
        <f t="shared" si="19"/>
        <v>8084.375</v>
      </c>
      <c r="N37" s="53">
        <f t="shared" si="20"/>
        <v>0.18559171258034896</v>
      </c>
    </row>
    <row r="38" spans="1:14" ht="12.75">
      <c r="A38" s="1"/>
      <c r="D38" s="7"/>
      <c r="E38" s="5"/>
      <c r="F38" s="4"/>
      <c r="G38" s="2"/>
      <c r="H38" s="2"/>
      <c r="I38" s="6"/>
      <c r="J38" s="24" t="str">
        <f t="shared" si="17"/>
        <v>Overtop</v>
      </c>
      <c r="K38" s="59" t="str">
        <f t="shared" si="8"/>
        <v> </v>
      </c>
      <c r="L38" s="22" t="str">
        <f t="shared" si="18"/>
        <v> </v>
      </c>
      <c r="M38" s="59" t="str">
        <f t="shared" si="19"/>
        <v> </v>
      </c>
      <c r="N38" s="53" t="str">
        <f t="shared" si="20"/>
        <v> </v>
      </c>
    </row>
    <row r="39" spans="1:14" ht="12.75">
      <c r="A39" s="6"/>
      <c r="D39" s="5"/>
      <c r="E39" s="5"/>
      <c r="F39" s="4"/>
      <c r="G39" s="2"/>
      <c r="H39" s="2"/>
      <c r="I39" s="6"/>
      <c r="J39" s="24" t="str">
        <f t="shared" si="17"/>
        <v>Overtop</v>
      </c>
      <c r="K39" s="59" t="str">
        <f t="shared" si="8"/>
        <v> </v>
      </c>
      <c r="L39" s="22" t="str">
        <f t="shared" si="18"/>
        <v> </v>
      </c>
      <c r="M39" s="59" t="str">
        <f t="shared" si="19"/>
        <v> </v>
      </c>
      <c r="N39" s="53" t="str">
        <f t="shared" si="20"/>
        <v> </v>
      </c>
    </row>
    <row r="40" spans="1:14" ht="12.75">
      <c r="A40" s="6"/>
      <c r="D40" s="5"/>
      <c r="E40" s="5"/>
      <c r="F40" s="4"/>
      <c r="G40" s="2"/>
      <c r="H40" s="2"/>
      <c r="I40" s="6"/>
      <c r="J40" s="24" t="str">
        <f t="shared" si="17"/>
        <v>Overtop</v>
      </c>
      <c r="K40" s="59" t="str">
        <f t="shared" si="8"/>
        <v> </v>
      </c>
      <c r="L40" s="22" t="str">
        <f t="shared" si="18"/>
        <v> </v>
      </c>
      <c r="M40" s="59" t="str">
        <f t="shared" si="19"/>
        <v> </v>
      </c>
      <c r="N40" s="53" t="str">
        <f t="shared" si="20"/>
        <v> </v>
      </c>
    </row>
    <row r="41" spans="1:14" ht="12.75">
      <c r="A41" s="6"/>
      <c r="D41" s="5"/>
      <c r="E41" s="5"/>
      <c r="F41" s="4"/>
      <c r="G41" s="2"/>
      <c r="H41" s="2"/>
      <c r="I41" s="6"/>
      <c r="J41" s="24" t="str">
        <f t="shared" si="17"/>
        <v>Overtop</v>
      </c>
      <c r="K41" s="59" t="str">
        <f t="shared" si="8"/>
        <v> </v>
      </c>
      <c r="L41" s="22" t="str">
        <f t="shared" si="18"/>
        <v> </v>
      </c>
      <c r="M41" s="59" t="str">
        <f t="shared" si="19"/>
        <v> </v>
      </c>
      <c r="N41" s="53" t="str">
        <f t="shared" si="20"/>
        <v> </v>
      </c>
    </row>
    <row r="42" spans="1:14" ht="13.5" thickBot="1">
      <c r="A42" s="6"/>
      <c r="D42" s="5"/>
      <c r="E42" s="5"/>
      <c r="F42" s="4"/>
      <c r="G42" s="2"/>
      <c r="H42" s="2"/>
      <c r="I42" s="6"/>
      <c r="J42" s="25" t="str">
        <f t="shared" si="17"/>
        <v>Overtop</v>
      </c>
      <c r="K42" s="60" t="str">
        <f t="shared" si="8"/>
        <v> </v>
      </c>
      <c r="L42" s="23" t="str">
        <f t="shared" si="18"/>
        <v> </v>
      </c>
      <c r="M42" s="60" t="str">
        <f t="shared" si="19"/>
        <v> </v>
      </c>
      <c r="N42" s="54" t="str">
        <f t="shared" si="20"/>
        <v> </v>
      </c>
    </row>
    <row r="43" spans="1:9" ht="12.75">
      <c r="A43" s="6"/>
      <c r="D43" s="5"/>
      <c r="E43" s="5"/>
      <c r="F43" s="4"/>
      <c r="G43" s="2"/>
      <c r="H43" s="2"/>
      <c r="I43" s="6"/>
    </row>
    <row r="44" spans="1:14" ht="12.75">
      <c r="A44" s="6"/>
      <c r="D44" s="5"/>
      <c r="E44" s="5"/>
      <c r="F44" s="4"/>
      <c r="G44" s="2"/>
      <c r="H44" s="2"/>
      <c r="I44" s="6"/>
      <c r="J44" s="6"/>
      <c r="K44" s="6"/>
      <c r="N44" s="29"/>
    </row>
    <row r="45" spans="1:11" ht="12.75">
      <c r="A45" s="6"/>
      <c r="D45" s="6"/>
      <c r="E45" s="5"/>
      <c r="F45" s="4"/>
      <c r="G45" s="2"/>
      <c r="H45" s="2"/>
      <c r="I45" s="6"/>
      <c r="J45" s="6"/>
      <c r="K45" s="6"/>
    </row>
    <row r="46" spans="1:11" ht="12.75">
      <c r="A46" s="6"/>
      <c r="D46" s="6"/>
      <c r="E46" s="5"/>
      <c r="F46" s="4"/>
      <c r="G46" s="2"/>
      <c r="H46" s="2"/>
      <c r="I46" s="6"/>
      <c r="J46" s="6"/>
      <c r="K46" s="6"/>
    </row>
    <row r="47" spans="1:11" ht="12.75">
      <c r="A47" s="8"/>
      <c r="D47" s="2"/>
      <c r="E47" s="5"/>
      <c r="F47" s="4"/>
      <c r="G47" s="2"/>
      <c r="H47" s="2"/>
      <c r="I47" s="6"/>
      <c r="J47" s="6"/>
      <c r="K47" s="6"/>
    </row>
    <row r="48" spans="1:11" ht="12.75">
      <c r="A48" s="1"/>
      <c r="D48" s="4"/>
      <c r="E48" s="5"/>
      <c r="F48" s="4"/>
      <c r="G48" s="2"/>
      <c r="H48" s="2"/>
      <c r="I48" s="6"/>
      <c r="J48" s="6"/>
      <c r="K48" s="6"/>
    </row>
    <row r="49" spans="1:11" ht="13.5" thickBot="1">
      <c r="A49" s="6"/>
      <c r="D49" s="6"/>
      <c r="E49" s="5"/>
      <c r="F49" s="4"/>
      <c r="G49" s="2"/>
      <c r="H49" s="2"/>
      <c r="I49" s="6"/>
      <c r="J49" s="6"/>
      <c r="K49" s="6"/>
    </row>
    <row r="50" spans="1:12" ht="15.75" thickBot="1">
      <c r="A50" s="6"/>
      <c r="D50" s="6"/>
      <c r="E50" s="5"/>
      <c r="F50" s="4"/>
      <c r="G50" s="2"/>
      <c r="H50" s="2"/>
      <c r="I50" s="6"/>
      <c r="J50" s="32" t="s">
        <v>12</v>
      </c>
      <c r="K50" s="32" t="s">
        <v>13</v>
      </c>
      <c r="L50" s="84" t="s">
        <v>55</v>
      </c>
    </row>
    <row r="51" spans="1:12" ht="15.75" thickBot="1">
      <c r="A51" s="6"/>
      <c r="D51" s="6"/>
      <c r="E51" s="5"/>
      <c r="F51" s="4"/>
      <c r="G51" s="2"/>
      <c r="H51" s="2"/>
      <c r="I51" s="6"/>
      <c r="J51" s="32" t="s">
        <v>19</v>
      </c>
      <c r="K51" s="32" t="s">
        <v>32</v>
      </c>
      <c r="L51" s="84" t="s">
        <v>56</v>
      </c>
    </row>
    <row r="52" spans="1:12" ht="15">
      <c r="A52" s="6"/>
      <c r="D52" s="6"/>
      <c r="E52" s="5"/>
      <c r="F52" s="4"/>
      <c r="G52" s="2"/>
      <c r="H52" s="2"/>
      <c r="I52" s="6"/>
      <c r="J52" s="43">
        <f aca="true" t="shared" si="21" ref="J52:J72">A16</f>
        <v>0</v>
      </c>
      <c r="K52" s="36">
        <v>0</v>
      </c>
      <c r="L52" s="85">
        <f>N17</f>
        <v>0</v>
      </c>
    </row>
    <row r="53" spans="1:12" ht="15">
      <c r="A53" s="6"/>
      <c r="D53" s="6"/>
      <c r="E53" s="5"/>
      <c r="F53" s="4"/>
      <c r="G53" s="2"/>
      <c r="H53" s="2"/>
      <c r="I53" s="6"/>
      <c r="J53" s="44">
        <f t="shared" si="21"/>
        <v>0.25</v>
      </c>
      <c r="K53" s="30">
        <f aca="true" t="shared" si="22" ref="K53:K72">H17</f>
        <v>0.10402011384509026</v>
      </c>
      <c r="L53" s="86">
        <f aca="true" t="shared" si="23" ref="L53:L72">N18</f>
        <v>0.0047814795684113865</v>
      </c>
    </row>
    <row r="54" spans="10:12" ht="15">
      <c r="J54" s="44">
        <f t="shared" si="21"/>
        <v>0.5</v>
      </c>
      <c r="K54" s="30">
        <f t="shared" si="22"/>
        <v>0.3277429517225245</v>
      </c>
      <c r="L54" s="86">
        <f t="shared" si="23"/>
        <v>0.00995035583103765</v>
      </c>
    </row>
    <row r="55" spans="10:12" ht="15">
      <c r="J55" s="44">
        <f t="shared" si="21"/>
        <v>0.75</v>
      </c>
      <c r="K55" s="30">
        <f t="shared" si="22"/>
        <v>0.6705686255720654</v>
      </c>
      <c r="L55" s="86">
        <f t="shared" si="23"/>
        <v>0.01552097681359045</v>
      </c>
    </row>
    <row r="56" spans="10:12" ht="15">
      <c r="J56" s="44">
        <f t="shared" si="21"/>
        <v>1</v>
      </c>
      <c r="K56" s="30">
        <f t="shared" si="22"/>
        <v>1.1504317244589641</v>
      </c>
      <c r="L56" s="86">
        <f t="shared" si="23"/>
        <v>0.021507690541781452</v>
      </c>
    </row>
    <row r="57" spans="10:12" ht="15">
      <c r="J57" s="44">
        <f t="shared" si="21"/>
        <v>1.25</v>
      </c>
      <c r="K57" s="30">
        <f t="shared" si="22"/>
        <v>1.7934810148296048</v>
      </c>
      <c r="L57" s="86">
        <f t="shared" si="23"/>
        <v>0.027924845041322314</v>
      </c>
    </row>
    <row r="58" spans="10:12" ht="15">
      <c r="J58" s="44">
        <f t="shared" si="21"/>
        <v>1.5</v>
      </c>
      <c r="K58" s="30">
        <f t="shared" si="22"/>
        <v>2.6339311689913623</v>
      </c>
      <c r="L58" s="86">
        <f t="shared" si="23"/>
        <v>0.0347867883379247</v>
      </c>
    </row>
    <row r="59" spans="10:12" ht="15">
      <c r="J59" s="44">
        <f t="shared" si="21"/>
        <v>1.75</v>
      </c>
      <c r="K59" s="30">
        <f t="shared" si="22"/>
        <v>4.4980030534985715</v>
      </c>
      <c r="L59" s="86">
        <f t="shared" si="23"/>
        <v>0.042107868457300274</v>
      </c>
    </row>
    <row r="60" spans="10:12" ht="15">
      <c r="J60" s="44">
        <f t="shared" si="21"/>
        <v>2</v>
      </c>
      <c r="K60" s="30">
        <f t="shared" si="22"/>
        <v>5.786532733476141</v>
      </c>
      <c r="L60" s="86">
        <f t="shared" si="23"/>
        <v>0.0499024334251607</v>
      </c>
    </row>
    <row r="61" spans="10:12" ht="15">
      <c r="J61" s="44">
        <f t="shared" si="21"/>
        <v>2.25</v>
      </c>
      <c r="K61" s="30">
        <f t="shared" si="22"/>
        <v>7.311450862360836</v>
      </c>
      <c r="L61" s="86">
        <f t="shared" si="23"/>
        <v>0.05818483126721763</v>
      </c>
    </row>
    <row r="62" spans="10:12" ht="15">
      <c r="J62" s="44">
        <f t="shared" si="21"/>
        <v>2.5</v>
      </c>
      <c r="K62" s="30">
        <f t="shared" si="22"/>
        <v>9.12253299726787</v>
      </c>
      <c r="L62" s="86">
        <f t="shared" si="23"/>
        <v>0.06696941000918273</v>
      </c>
    </row>
    <row r="63" spans="10:12" ht="15">
      <c r="J63" s="44">
        <f t="shared" si="21"/>
        <v>2.75</v>
      </c>
      <c r="K63" s="30">
        <f t="shared" si="22"/>
        <v>11.285473111174928</v>
      </c>
      <c r="L63" s="86">
        <f t="shared" si="23"/>
        <v>0.07627051767676768</v>
      </c>
    </row>
    <row r="64" spans="10:12" ht="15">
      <c r="J64" s="44">
        <f t="shared" si="21"/>
        <v>3</v>
      </c>
      <c r="K64" s="30">
        <f t="shared" si="22"/>
        <v>13.887839806775107</v>
      </c>
      <c r="L64" s="86">
        <f t="shared" si="23"/>
        <v>0.08610250229568411</v>
      </c>
    </row>
    <row r="65" spans="10:12" ht="15">
      <c r="J65" s="44">
        <f t="shared" si="21"/>
        <v>3.25</v>
      </c>
      <c r="K65" s="30">
        <f t="shared" si="22"/>
        <v>17.048058337491337</v>
      </c>
      <c r="L65" s="86">
        <f t="shared" si="23"/>
        <v>0.09647971189164371</v>
      </c>
    </row>
    <row r="66" spans="10:12" ht="15">
      <c r="J66" s="44">
        <f t="shared" si="21"/>
        <v>3.5</v>
      </c>
      <c r="K66" s="30">
        <f t="shared" si="22"/>
        <v>20.08710117816115</v>
      </c>
      <c r="L66" s="86">
        <f t="shared" si="23"/>
        <v>0.10741649449035813</v>
      </c>
    </row>
    <row r="67" spans="10:12" ht="15">
      <c r="J67" s="44">
        <f t="shared" si="21"/>
        <v>3.75</v>
      </c>
      <c r="K67" s="30">
        <f t="shared" si="22"/>
        <v>23.009921591719053</v>
      </c>
      <c r="L67" s="86">
        <f t="shared" si="23"/>
        <v>0.11892719811753903</v>
      </c>
    </row>
    <row r="68" spans="10:12" ht="15">
      <c r="J68" s="44">
        <f t="shared" si="21"/>
        <v>4</v>
      </c>
      <c r="K68" s="30">
        <f t="shared" si="22"/>
        <v>26.695504488720545</v>
      </c>
      <c r="L68" s="86">
        <f t="shared" si="23"/>
        <v>0.13102617079889808</v>
      </c>
    </row>
    <row r="69" spans="10:12" ht="15">
      <c r="J69" s="44">
        <f t="shared" si="21"/>
        <v>4.25</v>
      </c>
      <c r="K69" s="30">
        <f t="shared" si="22"/>
        <v>31.42534019929489</v>
      </c>
      <c r="L69" s="86">
        <f t="shared" si="23"/>
        <v>0.1437277605601469</v>
      </c>
    </row>
    <row r="70" spans="10:12" ht="15">
      <c r="J70" s="44">
        <f t="shared" si="21"/>
        <v>4.5</v>
      </c>
      <c r="K70" s="30">
        <f t="shared" si="22"/>
        <v>37.63550669089825</v>
      </c>
      <c r="L70" s="86">
        <f t="shared" si="23"/>
        <v>0.15704631542699724</v>
      </c>
    </row>
    <row r="71" spans="10:12" ht="15">
      <c r="J71" s="44">
        <f t="shared" si="21"/>
        <v>4.75</v>
      </c>
      <c r="K71" s="30">
        <f t="shared" si="22"/>
        <v>46.03180924788762</v>
      </c>
      <c r="L71" s="86">
        <f t="shared" si="23"/>
        <v>0.1709961834251607</v>
      </c>
    </row>
    <row r="72" spans="10:12" ht="15.75" thickBot="1">
      <c r="J72" s="45">
        <f t="shared" si="21"/>
        <v>5</v>
      </c>
      <c r="K72" s="31">
        <f t="shared" si="22"/>
        <v>57.82286911690102</v>
      </c>
      <c r="L72" s="87">
        <f t="shared" si="23"/>
        <v>0.18559171258034896</v>
      </c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E21"/>
  <sheetViews>
    <sheetView workbookViewId="0" topLeftCell="A1">
      <selection activeCell="A2" sqref="A2"/>
    </sheetView>
  </sheetViews>
  <sheetFormatPr defaultColWidth="9.33203125" defaultRowHeight="12.75"/>
  <cols>
    <col min="1" max="1" width="12.33203125" style="0" bestFit="1" customWidth="1"/>
    <col min="2" max="2" width="9.5" style="0" bestFit="1" customWidth="1"/>
    <col min="3" max="3" width="11.5" style="0" bestFit="1" customWidth="1"/>
    <col min="4" max="5" width="11" style="0" bestFit="1" customWidth="1"/>
  </cols>
  <sheetData>
    <row r="1" spans="1:5" ht="12.75">
      <c r="A1" s="18"/>
      <c r="B1" s="18"/>
      <c r="C1" s="19" t="s">
        <v>7</v>
      </c>
      <c r="D1" s="19" t="s">
        <v>5</v>
      </c>
      <c r="E1" s="19" t="s">
        <v>6</v>
      </c>
    </row>
    <row r="2" spans="1:5" ht="12.75">
      <c r="A2" s="20" t="s">
        <v>36</v>
      </c>
      <c r="B2" s="20" t="s">
        <v>2</v>
      </c>
      <c r="C2" s="20" t="s">
        <v>4</v>
      </c>
      <c r="D2" s="20" t="s">
        <v>1</v>
      </c>
      <c r="E2" s="20" t="s">
        <v>1</v>
      </c>
    </row>
    <row r="3" spans="1:5" ht="13.5" thickBot="1">
      <c r="A3" s="20"/>
      <c r="B3" s="20"/>
      <c r="C3" s="20">
        <v>1</v>
      </c>
      <c r="D3" s="20">
        <v>2</v>
      </c>
      <c r="E3" s="20">
        <v>3</v>
      </c>
    </row>
    <row r="4" spans="1:5" ht="12.75">
      <c r="A4" s="15">
        <v>0.01</v>
      </c>
      <c r="B4" s="21">
        <v>0.6371</v>
      </c>
      <c r="C4" s="15">
        <v>9.4</v>
      </c>
      <c r="D4" s="15">
        <v>6.05</v>
      </c>
      <c r="E4" s="15">
        <v>4.6</v>
      </c>
    </row>
    <row r="5" spans="1:5" ht="12.75">
      <c r="A5" s="11">
        <v>0.02</v>
      </c>
      <c r="B5" s="22">
        <v>0.654</v>
      </c>
      <c r="C5" s="11">
        <v>7.4</v>
      </c>
      <c r="D5" s="11">
        <v>4.65</v>
      </c>
      <c r="E5" s="11">
        <v>3.55</v>
      </c>
    </row>
    <row r="6" spans="1:5" ht="12.75">
      <c r="A6" s="11">
        <v>0.03</v>
      </c>
      <c r="B6" s="22">
        <v>0.6589</v>
      </c>
      <c r="C6" s="11">
        <v>6.4</v>
      </c>
      <c r="D6" s="11">
        <v>4.08</v>
      </c>
      <c r="E6" s="11">
        <v>3.08</v>
      </c>
    </row>
    <row r="7" spans="1:5" ht="12.75">
      <c r="A7" s="11">
        <v>0.04</v>
      </c>
      <c r="B7" s="22">
        <v>0.6609</v>
      </c>
      <c r="C7" s="11">
        <v>5.85</v>
      </c>
      <c r="D7" s="11">
        <v>3.65</v>
      </c>
      <c r="E7" s="11">
        <v>2.8</v>
      </c>
    </row>
    <row r="8" spans="1:5" ht="12.75">
      <c r="A8" s="11">
        <v>0.05</v>
      </c>
      <c r="B8" s="22">
        <v>0.6624</v>
      </c>
      <c r="C8" s="11">
        <v>5.4</v>
      </c>
      <c r="D8" s="11">
        <v>3.35</v>
      </c>
      <c r="E8" s="11">
        <v>2.6</v>
      </c>
    </row>
    <row r="9" spans="1:5" ht="12.75">
      <c r="A9" s="11">
        <v>0.06</v>
      </c>
      <c r="B9" s="22">
        <v>0.6635</v>
      </c>
      <c r="C9" s="11">
        <v>5.05</v>
      </c>
      <c r="D9" s="11">
        <v>3.15</v>
      </c>
      <c r="E9" s="11">
        <v>2.4</v>
      </c>
    </row>
    <row r="10" spans="1:5" ht="12.75">
      <c r="A10" s="11">
        <v>0.08</v>
      </c>
      <c r="B10" s="22">
        <v>0.6644</v>
      </c>
      <c r="C10" s="11">
        <v>4.5</v>
      </c>
      <c r="D10" s="11">
        <v>2.85</v>
      </c>
      <c r="E10" s="11">
        <v>2.2</v>
      </c>
    </row>
    <row r="11" spans="1:5" ht="12.75">
      <c r="A11" s="11">
        <v>0.09</v>
      </c>
      <c r="B11" s="22">
        <v>0.6648</v>
      </c>
      <c r="C11" s="11">
        <v>4.28</v>
      </c>
      <c r="D11" s="11">
        <v>2.7</v>
      </c>
      <c r="E11" s="11">
        <v>2.1</v>
      </c>
    </row>
    <row r="12" spans="1:5" ht="12.75">
      <c r="A12" s="11">
        <v>0.1</v>
      </c>
      <c r="B12" s="22">
        <v>0.6651</v>
      </c>
      <c r="C12" s="11">
        <v>4.13</v>
      </c>
      <c r="D12" s="11">
        <v>2.6</v>
      </c>
      <c r="E12" s="11">
        <v>2.05</v>
      </c>
    </row>
    <row r="13" spans="1:5" ht="12.75">
      <c r="A13" s="11">
        <v>0.2</v>
      </c>
      <c r="B13" s="22">
        <v>0.6662</v>
      </c>
      <c r="C13" s="11">
        <v>3.2</v>
      </c>
      <c r="D13" s="11">
        <v>2.05</v>
      </c>
      <c r="E13" s="11">
        <v>1.57</v>
      </c>
    </row>
    <row r="14" spans="1:5" ht="12.75">
      <c r="A14" s="11">
        <v>0.3</v>
      </c>
      <c r="B14" s="22">
        <v>0.6664</v>
      </c>
      <c r="C14" s="11">
        <v>2.8</v>
      </c>
      <c r="D14" s="11">
        <v>1.75</v>
      </c>
      <c r="E14" s="11">
        <v>1.3</v>
      </c>
    </row>
    <row r="15" spans="1:5" ht="12.75">
      <c r="A15" s="11">
        <v>0.4</v>
      </c>
      <c r="B15" s="22">
        <v>0.6665</v>
      </c>
      <c r="C15" s="11">
        <v>2.5</v>
      </c>
      <c r="D15" s="11">
        <v>1.55</v>
      </c>
      <c r="E15" s="11">
        <v>1.16</v>
      </c>
    </row>
    <row r="16" spans="1:5" ht="13.5" thickBot="1">
      <c r="A16" s="12">
        <v>0.5</v>
      </c>
      <c r="B16" s="23">
        <v>0.6666</v>
      </c>
      <c r="C16" s="12">
        <v>2.3</v>
      </c>
      <c r="D16" s="12">
        <v>1.4</v>
      </c>
      <c r="E16" s="12">
        <v>1.08</v>
      </c>
    </row>
    <row r="17" spans="1:5" ht="12.75">
      <c r="A17" s="3"/>
      <c r="B17" s="9"/>
      <c r="C17" s="3"/>
      <c r="D17" s="3"/>
      <c r="E17" s="3"/>
    </row>
    <row r="20" spans="1:4" ht="12.75">
      <c r="A20">
        <v>0.001</v>
      </c>
      <c r="B20" t="s">
        <v>16</v>
      </c>
      <c r="C20" s="29">
        <f>FindCoef_a(A20,A21)</f>
        <v>4.599999904632568</v>
      </c>
      <c r="D20" t="s">
        <v>14</v>
      </c>
    </row>
    <row r="21" spans="1:4" ht="12.75">
      <c r="A21">
        <v>3.5</v>
      </c>
      <c r="B21" t="s">
        <v>17</v>
      </c>
      <c r="C21" s="28">
        <f>FindCoef_b(A20)</f>
        <v>0.6370999813079834</v>
      </c>
      <c r="D21" t="s">
        <v>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cHc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Sediment Trap Rock Stage Discharge </dc:title>
  <dc:subject>Trap Eff</dc:subject>
  <dc:creator/>
  <cp:keywords/>
  <dc:description/>
  <cp:lastModifiedBy>Chess Hill</cp:lastModifiedBy>
  <cp:lastPrinted>2000-04-24T15:14:41Z</cp:lastPrinted>
  <dcterms:created xsi:type="dcterms:W3CDTF">1999-09-24T19:50:56Z</dcterms:created>
  <dcterms:modified xsi:type="dcterms:W3CDTF">2003-06-05T20:57:38Z</dcterms:modified>
  <cp:category/>
  <cp:version/>
  <cp:contentType/>
  <cp:contentStatus/>
</cp:coreProperties>
</file>